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Z:\4. Экономисты\1. Общая папка\Проценкова\2023\МОЦ\"/>
    </mc:Choice>
  </mc:AlternateContent>
  <xr:revisionPtr revIDLastSave="0" documentId="13_ncr:1_{10D5E7B2-B1D1-4C0F-9539-5C220582AADE}" xr6:coauthVersionLast="45" xr6:coauthVersionMax="45" xr10:uidLastSave="{00000000-0000-0000-0000-000000000000}"/>
  <bookViews>
    <workbookView xWindow="-120" yWindow="-120" windowWidth="29040" windowHeight="15840" tabRatio="754" xr2:uid="{00000000-000D-0000-FFFF-FFFF00000000}"/>
  </bookViews>
  <sheets>
    <sheet name="Параметры ПФ" sheetId="7" r:id="rId1"/>
    <sheet name="Стандартные программы" sheetId="5" r:id="rId2"/>
    <sheet name="Дистанционные программы" sheetId="8" r:id="rId3"/>
    <sheet name="Очно-заочные программы" sheetId="9" r:id="rId4"/>
    <sheet name="Адаптированные программы" sheetId="10" r:id="rId5"/>
  </sheets>
  <externalReferences>
    <externalReference r:id="rId6"/>
  </externalReferences>
  <definedNames>
    <definedName name="_xlnm._FilterDatabase" localSheetId="1" hidden="1">'Стандартные программы'!$A$1:$N$144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1" i="5" l="1"/>
  <c r="J81" i="5" s="1"/>
  <c r="M81" i="5" s="1"/>
  <c r="I80" i="5"/>
  <c r="J80" i="5" s="1"/>
  <c r="I79" i="5"/>
  <c r="J79" i="5" s="1"/>
  <c r="I78" i="5"/>
  <c r="J78" i="5" s="1"/>
  <c r="I77" i="5"/>
  <c r="J77" i="5" s="1"/>
  <c r="K77" i="5" s="1"/>
  <c r="I76" i="5"/>
  <c r="J76" i="5" s="1"/>
  <c r="I75" i="5"/>
  <c r="J75" i="5" s="1"/>
  <c r="M75" i="5" s="1"/>
  <c r="I74" i="5"/>
  <c r="J74" i="5" s="1"/>
  <c r="I73" i="5"/>
  <c r="J73" i="5" s="1"/>
  <c r="M73" i="5" s="1"/>
  <c r="I72" i="5"/>
  <c r="J72" i="5" s="1"/>
  <c r="I71" i="5"/>
  <c r="J71" i="5" s="1"/>
  <c r="I70" i="5"/>
  <c r="J70" i="5" s="1"/>
  <c r="I69" i="5"/>
  <c r="J69" i="5" s="1"/>
  <c r="K69" i="5" s="1"/>
  <c r="I68" i="5"/>
  <c r="J68" i="5" s="1"/>
  <c r="I67" i="5"/>
  <c r="J67" i="5" s="1"/>
  <c r="M67" i="5" s="1"/>
  <c r="I66" i="5"/>
  <c r="J66" i="5" s="1"/>
  <c r="I65" i="5"/>
  <c r="J65" i="5" s="1"/>
  <c r="M65" i="5" s="1"/>
  <c r="I64" i="5"/>
  <c r="J64" i="5" s="1"/>
  <c r="I63" i="5"/>
  <c r="J63" i="5" s="1"/>
  <c r="I62" i="5"/>
  <c r="J62" i="5" s="1"/>
  <c r="I61" i="5"/>
  <c r="J61" i="5" s="1"/>
  <c r="K61" i="5" s="1"/>
  <c r="I60" i="5"/>
  <c r="J60" i="5" s="1"/>
  <c r="I59" i="5"/>
  <c r="J59" i="5" s="1"/>
  <c r="M59" i="5" s="1"/>
  <c r="I58" i="5"/>
  <c r="J58" i="5" s="1"/>
  <c r="J57" i="5"/>
  <c r="M57" i="5" s="1"/>
  <c r="I57" i="5"/>
  <c r="I56" i="5"/>
  <c r="J56" i="5" s="1"/>
  <c r="I55" i="5"/>
  <c r="J55" i="5" s="1"/>
  <c r="J135" i="5"/>
  <c r="M135" i="5" s="1"/>
  <c r="I135" i="5"/>
  <c r="I134" i="5"/>
  <c r="J134" i="5" s="1"/>
  <c r="I133" i="5"/>
  <c r="J133" i="5" s="1"/>
  <c r="M133" i="5" s="1"/>
  <c r="I132" i="5"/>
  <c r="J132" i="5" s="1"/>
  <c r="I131" i="5"/>
  <c r="J131" i="5" s="1"/>
  <c r="I130" i="5"/>
  <c r="J130" i="5" s="1"/>
  <c r="I129" i="5"/>
  <c r="J129" i="5" s="1"/>
  <c r="M129" i="5" s="1"/>
  <c r="I128" i="5"/>
  <c r="J128" i="5" s="1"/>
  <c r="I127" i="5"/>
  <c r="J127" i="5" s="1"/>
  <c r="K127" i="5" s="1"/>
  <c r="I126" i="5"/>
  <c r="J126" i="5" s="1"/>
  <c r="I125" i="5"/>
  <c r="I124" i="5"/>
  <c r="J124" i="5" s="1"/>
  <c r="K124" i="5" s="1"/>
  <c r="I123" i="5"/>
  <c r="J123" i="5" s="1"/>
  <c r="I122" i="5"/>
  <c r="J122" i="5" s="1"/>
  <c r="I121" i="5"/>
  <c r="J121" i="5" s="1"/>
  <c r="M121" i="5" s="1"/>
  <c r="I120" i="5"/>
  <c r="J120" i="5" s="1"/>
  <c r="I119" i="5"/>
  <c r="J119" i="5" s="1"/>
  <c r="K119" i="5" s="1"/>
  <c r="I118" i="5"/>
  <c r="J118" i="5" s="1"/>
  <c r="I117" i="5"/>
  <c r="I116" i="5"/>
  <c r="J116" i="5" s="1"/>
  <c r="K116" i="5" s="1"/>
  <c r="I115" i="5"/>
  <c r="J115" i="5" s="1"/>
  <c r="I114" i="5"/>
  <c r="J114" i="5" s="1"/>
  <c r="I87" i="5"/>
  <c r="J87" i="5" s="1"/>
  <c r="I86" i="5"/>
  <c r="J86" i="5" s="1"/>
  <c r="I85" i="5"/>
  <c r="J85" i="5" s="1"/>
  <c r="I84" i="5"/>
  <c r="J84" i="5" s="1"/>
  <c r="I83" i="5"/>
  <c r="J83" i="5" s="1"/>
  <c r="I82" i="5"/>
  <c r="J82" i="5" s="1"/>
  <c r="I54" i="5"/>
  <c r="J54" i="5" s="1"/>
  <c r="M54" i="5" s="1"/>
  <c r="I53" i="5"/>
  <c r="J53" i="5" s="1"/>
  <c r="I52" i="5"/>
  <c r="J52" i="5" s="1"/>
  <c r="I51" i="5"/>
  <c r="J51" i="5" s="1"/>
  <c r="I50" i="5"/>
  <c r="J50" i="5" s="1"/>
  <c r="I49" i="5"/>
  <c r="J49" i="5" s="1"/>
  <c r="I48" i="5"/>
  <c r="J48" i="5" s="1"/>
  <c r="I47" i="5"/>
  <c r="J47" i="5" s="1"/>
  <c r="I46" i="5"/>
  <c r="J46" i="5" s="1"/>
  <c r="M46" i="5" s="1"/>
  <c r="I45" i="5"/>
  <c r="J45" i="5" s="1"/>
  <c r="I44" i="5"/>
  <c r="J44" i="5" s="1"/>
  <c r="I43" i="5"/>
  <c r="J43" i="5" s="1"/>
  <c r="I42" i="5"/>
  <c r="J42" i="5" s="1"/>
  <c r="M42" i="5" s="1"/>
  <c r="I41" i="5"/>
  <c r="J41" i="5" s="1"/>
  <c r="I40" i="5"/>
  <c r="J40" i="5" s="1"/>
  <c r="I39" i="5"/>
  <c r="J39" i="5" s="1"/>
  <c r="I38" i="5"/>
  <c r="J38" i="5" s="1"/>
  <c r="M38" i="5" s="1"/>
  <c r="I37" i="5"/>
  <c r="J37" i="5" s="1"/>
  <c r="I36" i="5"/>
  <c r="J36" i="5" s="1"/>
  <c r="I35" i="5"/>
  <c r="J35" i="5" s="1"/>
  <c r="I141" i="5"/>
  <c r="J141" i="5" s="1"/>
  <c r="M141" i="5" s="1"/>
  <c r="I140" i="5"/>
  <c r="J140" i="5" s="1"/>
  <c r="I139" i="5"/>
  <c r="J139" i="5" s="1"/>
  <c r="I101" i="5"/>
  <c r="J101" i="5" s="1"/>
  <c r="M101" i="5" s="1"/>
  <c r="I100" i="5"/>
  <c r="J100" i="5" s="1"/>
  <c r="I99" i="5"/>
  <c r="J99" i="5" s="1"/>
  <c r="I98" i="5"/>
  <c r="J98" i="5" s="1"/>
  <c r="I97" i="5"/>
  <c r="J97" i="5" s="1"/>
  <c r="K97" i="5" s="1"/>
  <c r="I96" i="5"/>
  <c r="J96" i="5" s="1"/>
  <c r="I95" i="5"/>
  <c r="J95" i="5" s="1"/>
  <c r="M95" i="5" s="1"/>
  <c r="I94" i="5"/>
  <c r="J94" i="5" s="1"/>
  <c r="I93" i="5"/>
  <c r="J93" i="5" s="1"/>
  <c r="M93" i="5" s="1"/>
  <c r="I92" i="5"/>
  <c r="J92" i="5" s="1"/>
  <c r="I91" i="5"/>
  <c r="J91" i="5" s="1"/>
  <c r="I90" i="5"/>
  <c r="J90" i="5" s="1"/>
  <c r="I89" i="5"/>
  <c r="J89" i="5" s="1"/>
  <c r="K89" i="5" s="1"/>
  <c r="I34" i="5"/>
  <c r="J34" i="5" s="1"/>
  <c r="I33" i="5"/>
  <c r="J33" i="5" s="1"/>
  <c r="M33" i="5" s="1"/>
  <c r="I32" i="5"/>
  <c r="J32" i="5" s="1"/>
  <c r="I31" i="5"/>
  <c r="J31" i="5" s="1"/>
  <c r="I30" i="5"/>
  <c r="J30" i="5" s="1"/>
  <c r="I29" i="5"/>
  <c r="J29" i="5" s="1"/>
  <c r="I28" i="5"/>
  <c r="J28" i="5" s="1"/>
  <c r="M28" i="5" s="1"/>
  <c r="I27" i="5"/>
  <c r="J27" i="5" s="1"/>
  <c r="I26" i="5"/>
  <c r="J26" i="5" s="1"/>
  <c r="I25" i="5"/>
  <c r="J25" i="5" s="1"/>
  <c r="M25" i="5" s="1"/>
  <c r="I24" i="5"/>
  <c r="J24" i="5" s="1"/>
  <c r="I23" i="5"/>
  <c r="J23" i="5" s="1"/>
  <c r="I22" i="5"/>
  <c r="J22" i="5" s="1"/>
  <c r="I21" i="5"/>
  <c r="J21" i="5" s="1"/>
  <c r="I136" i="5"/>
  <c r="J136" i="5" s="1"/>
  <c r="I113" i="5"/>
  <c r="J113" i="5" s="1"/>
  <c r="I112" i="5"/>
  <c r="J112" i="5" s="1"/>
  <c r="I111" i="5"/>
  <c r="J111" i="5" s="1"/>
  <c r="I110" i="5"/>
  <c r="J110" i="5" s="1"/>
  <c r="I109" i="5"/>
  <c r="J109" i="5" s="1"/>
  <c r="I108" i="5"/>
  <c r="J108" i="5" s="1"/>
  <c r="I107" i="5"/>
  <c r="J107" i="5" s="1"/>
  <c r="M107" i="5" s="1"/>
  <c r="I106" i="5"/>
  <c r="J106" i="5" s="1"/>
  <c r="I105" i="5"/>
  <c r="J105" i="5" s="1"/>
  <c r="I104" i="5"/>
  <c r="J104" i="5" s="1"/>
  <c r="I103" i="5"/>
  <c r="J103" i="5" s="1"/>
  <c r="I102" i="5"/>
  <c r="J102" i="5" s="1"/>
  <c r="K102" i="5" s="1"/>
  <c r="I137" i="5"/>
  <c r="J137" i="5" s="1"/>
  <c r="I88" i="5"/>
  <c r="J88" i="5" s="1"/>
  <c r="I20" i="5"/>
  <c r="J20" i="5" s="1"/>
  <c r="I19" i="5"/>
  <c r="J19" i="5" s="1"/>
  <c r="I18" i="5"/>
  <c r="J18" i="5" s="1"/>
  <c r="K18" i="5" s="1"/>
  <c r="I17" i="5"/>
  <c r="J17" i="5" s="1"/>
  <c r="I16" i="5"/>
  <c r="J16" i="5" s="1"/>
  <c r="I15" i="5"/>
  <c r="J15" i="5" s="1"/>
  <c r="M15" i="5" s="1"/>
  <c r="I14" i="5"/>
  <c r="J14" i="5" s="1"/>
  <c r="I13" i="5"/>
  <c r="J13" i="5" s="1"/>
  <c r="I12" i="5"/>
  <c r="J12" i="5" s="1"/>
  <c r="I11" i="5"/>
  <c r="J11" i="5" s="1"/>
  <c r="I10" i="5"/>
  <c r="J10" i="5" s="1"/>
  <c r="K10" i="5" s="1"/>
  <c r="M63" i="5" l="1"/>
  <c r="K63" i="5"/>
  <c r="M58" i="5"/>
  <c r="K58" i="5"/>
  <c r="M64" i="5"/>
  <c r="K64" i="5"/>
  <c r="N69" i="5"/>
  <c r="P69" i="5" s="1"/>
  <c r="L69" i="5"/>
  <c r="K70" i="5"/>
  <c r="M70" i="5"/>
  <c r="M76" i="5"/>
  <c r="K76" i="5"/>
  <c r="M71" i="5"/>
  <c r="K71" i="5"/>
  <c r="K60" i="5"/>
  <c r="M60" i="5"/>
  <c r="N77" i="5"/>
  <c r="P77" i="5" s="1"/>
  <c r="L77" i="5"/>
  <c r="M55" i="5"/>
  <c r="K55" i="5"/>
  <c r="K78" i="5"/>
  <c r="M78" i="5"/>
  <c r="M66" i="5"/>
  <c r="K66" i="5"/>
  <c r="M56" i="5"/>
  <c r="K56" i="5"/>
  <c r="N61" i="5"/>
  <c r="P61" i="5" s="1"/>
  <c r="L61" i="5"/>
  <c r="M79" i="5"/>
  <c r="K79" i="5"/>
  <c r="M72" i="5"/>
  <c r="K72" i="5"/>
  <c r="K62" i="5"/>
  <c r="M62" i="5"/>
  <c r="M68" i="5"/>
  <c r="K68" i="5"/>
  <c r="M74" i="5"/>
  <c r="K74" i="5"/>
  <c r="M80" i="5"/>
  <c r="K80" i="5"/>
  <c r="J117" i="5"/>
  <c r="J125" i="5"/>
  <c r="K59" i="5"/>
  <c r="M61" i="5"/>
  <c r="K67" i="5"/>
  <c r="M69" i="5"/>
  <c r="K75" i="5"/>
  <c r="M77" i="5"/>
  <c r="K57" i="5"/>
  <c r="K65" i="5"/>
  <c r="K73" i="5"/>
  <c r="K81" i="5"/>
  <c r="M116" i="5"/>
  <c r="M119" i="5"/>
  <c r="M124" i="5"/>
  <c r="M127" i="5"/>
  <c r="K114" i="5"/>
  <c r="M114" i="5"/>
  <c r="K122" i="5"/>
  <c r="M122" i="5"/>
  <c r="M130" i="5"/>
  <c r="K130" i="5"/>
  <c r="K115" i="5"/>
  <c r="M115" i="5"/>
  <c r="K123" i="5"/>
  <c r="M123" i="5"/>
  <c r="K131" i="5"/>
  <c r="M131" i="5"/>
  <c r="K132" i="5"/>
  <c r="M132" i="5"/>
  <c r="L116" i="5"/>
  <c r="N116" i="5"/>
  <c r="P116" i="5" s="1"/>
  <c r="N119" i="5"/>
  <c r="P119" i="5" s="1"/>
  <c r="L119" i="5"/>
  <c r="L124" i="5"/>
  <c r="N124" i="5"/>
  <c r="P124" i="5" s="1"/>
  <c r="N127" i="5"/>
  <c r="P127" i="5" s="1"/>
  <c r="L127" i="5"/>
  <c r="M118" i="5"/>
  <c r="K118" i="5"/>
  <c r="M126" i="5"/>
  <c r="K126" i="5"/>
  <c r="M120" i="5"/>
  <c r="K120" i="5"/>
  <c r="M128" i="5"/>
  <c r="K128" i="5"/>
  <c r="M134" i="5"/>
  <c r="K134" i="5"/>
  <c r="K121" i="5"/>
  <c r="K129" i="5"/>
  <c r="K135" i="5"/>
  <c r="K133" i="5"/>
  <c r="M45" i="5"/>
  <c r="K45" i="5"/>
  <c r="M52" i="5"/>
  <c r="K52" i="5"/>
  <c r="M53" i="5"/>
  <c r="K53" i="5"/>
  <c r="M87" i="5"/>
  <c r="K87" i="5"/>
  <c r="K40" i="5"/>
  <c r="M40" i="5"/>
  <c r="K41" i="5"/>
  <c r="M41" i="5"/>
  <c r="M47" i="5"/>
  <c r="K47" i="5"/>
  <c r="M35" i="5"/>
  <c r="K35" i="5"/>
  <c r="K82" i="5"/>
  <c r="M82" i="5"/>
  <c r="M36" i="5"/>
  <c r="K36" i="5"/>
  <c r="K49" i="5"/>
  <c r="M49" i="5"/>
  <c r="M43" i="5"/>
  <c r="K43" i="5"/>
  <c r="M50" i="5"/>
  <c r="K50" i="5"/>
  <c r="K84" i="5"/>
  <c r="M84" i="5"/>
  <c r="M86" i="5"/>
  <c r="K86" i="5"/>
  <c r="K39" i="5"/>
  <c r="M39" i="5"/>
  <c r="K48" i="5"/>
  <c r="M48" i="5"/>
  <c r="K83" i="5"/>
  <c r="M83" i="5"/>
  <c r="M37" i="5"/>
  <c r="K37" i="5"/>
  <c r="M44" i="5"/>
  <c r="K44" i="5"/>
  <c r="M51" i="5"/>
  <c r="K51" i="5"/>
  <c r="M85" i="5"/>
  <c r="K85" i="5"/>
  <c r="K38" i="5"/>
  <c r="K46" i="5"/>
  <c r="K54" i="5"/>
  <c r="K42" i="5"/>
  <c r="M139" i="5"/>
  <c r="K139" i="5"/>
  <c r="M140" i="5"/>
  <c r="K140" i="5"/>
  <c r="K141" i="5"/>
  <c r="N89" i="5"/>
  <c r="P89" i="5" s="1"/>
  <c r="L89" i="5"/>
  <c r="K90" i="5"/>
  <c r="M90" i="5"/>
  <c r="M96" i="5"/>
  <c r="K96" i="5"/>
  <c r="M91" i="5"/>
  <c r="K91" i="5"/>
  <c r="K23" i="5"/>
  <c r="L23" i="5" s="1"/>
  <c r="M23" i="5"/>
  <c r="M99" i="5"/>
  <c r="K99" i="5"/>
  <c r="M92" i="5"/>
  <c r="K92" i="5"/>
  <c r="N97" i="5"/>
  <c r="P97" i="5" s="1"/>
  <c r="L97" i="5"/>
  <c r="K98" i="5"/>
  <c r="M98" i="5"/>
  <c r="M94" i="5"/>
  <c r="K94" i="5"/>
  <c r="M100" i="5"/>
  <c r="K100" i="5"/>
  <c r="M89" i="5"/>
  <c r="K95" i="5"/>
  <c r="M97" i="5"/>
  <c r="K93" i="5"/>
  <c r="K101" i="5"/>
  <c r="M24" i="5"/>
  <c r="K24" i="5"/>
  <c r="K30" i="5"/>
  <c r="M30" i="5"/>
  <c r="M29" i="5"/>
  <c r="K29" i="5"/>
  <c r="M32" i="5"/>
  <c r="K32" i="5"/>
  <c r="M26" i="5"/>
  <c r="K26" i="5"/>
  <c r="K31" i="5"/>
  <c r="M31" i="5"/>
  <c r="K21" i="5"/>
  <c r="M21" i="5"/>
  <c r="K22" i="5"/>
  <c r="M22" i="5"/>
  <c r="M27" i="5"/>
  <c r="K27" i="5"/>
  <c r="M34" i="5"/>
  <c r="K34" i="5"/>
  <c r="K28" i="5"/>
  <c r="K25" i="5"/>
  <c r="K33" i="5"/>
  <c r="M108" i="5"/>
  <c r="K108" i="5"/>
  <c r="M109" i="5"/>
  <c r="K109" i="5"/>
  <c r="K110" i="5"/>
  <c r="M110" i="5"/>
  <c r="K111" i="5"/>
  <c r="M111" i="5"/>
  <c r="N102" i="5"/>
  <c r="P102" i="5" s="1"/>
  <c r="L102" i="5"/>
  <c r="M112" i="5"/>
  <c r="K112" i="5"/>
  <c r="K103" i="5"/>
  <c r="M103" i="5"/>
  <c r="M113" i="5"/>
  <c r="K113" i="5"/>
  <c r="M104" i="5"/>
  <c r="K104" i="5"/>
  <c r="M105" i="5"/>
  <c r="K105" i="5"/>
  <c r="M106" i="5"/>
  <c r="K106" i="5"/>
  <c r="M136" i="5"/>
  <c r="K136" i="5"/>
  <c r="M102" i="5"/>
  <c r="K107" i="5"/>
  <c r="K11" i="5"/>
  <c r="M11" i="5"/>
  <c r="M16" i="5"/>
  <c r="K16" i="5"/>
  <c r="M17" i="5"/>
  <c r="K17" i="5"/>
  <c r="N18" i="5"/>
  <c r="P18" i="5" s="1"/>
  <c r="L18" i="5"/>
  <c r="K13" i="5"/>
  <c r="M13" i="5"/>
  <c r="M19" i="5"/>
  <c r="K19" i="5"/>
  <c r="M12" i="5"/>
  <c r="K12" i="5"/>
  <c r="M14" i="5"/>
  <c r="K14" i="5"/>
  <c r="M20" i="5"/>
  <c r="K20" i="5"/>
  <c r="M88" i="5"/>
  <c r="K88" i="5"/>
  <c r="N10" i="5"/>
  <c r="P10" i="5" s="1"/>
  <c r="L10" i="5"/>
  <c r="M137" i="5"/>
  <c r="K137" i="5"/>
  <c r="K15" i="5"/>
  <c r="M18" i="5"/>
  <c r="M10" i="5"/>
  <c r="N74" i="5" l="1"/>
  <c r="P74" i="5" s="1"/>
  <c r="L74" i="5"/>
  <c r="N64" i="5"/>
  <c r="P64" i="5" s="1"/>
  <c r="L64" i="5"/>
  <c r="N73" i="5"/>
  <c r="P73" i="5" s="1"/>
  <c r="L73" i="5"/>
  <c r="N59" i="5"/>
  <c r="P59" i="5" s="1"/>
  <c r="L59" i="5"/>
  <c r="L78" i="5"/>
  <c r="N78" i="5"/>
  <c r="P78" i="5" s="1"/>
  <c r="L79" i="5"/>
  <c r="N79" i="5"/>
  <c r="P79" i="5" s="1"/>
  <c r="N81" i="5"/>
  <c r="P81" i="5" s="1"/>
  <c r="L81" i="5"/>
  <c r="L71" i="5"/>
  <c r="N71" i="5"/>
  <c r="P71" i="5" s="1"/>
  <c r="N65" i="5"/>
  <c r="P65" i="5" s="1"/>
  <c r="L65" i="5"/>
  <c r="M125" i="5"/>
  <c r="K125" i="5"/>
  <c r="L55" i="5"/>
  <c r="N55" i="5"/>
  <c r="P55" i="5" s="1"/>
  <c r="N76" i="5"/>
  <c r="P76" i="5" s="1"/>
  <c r="L76" i="5"/>
  <c r="N58" i="5"/>
  <c r="P58" i="5" s="1"/>
  <c r="L58" i="5"/>
  <c r="N67" i="5"/>
  <c r="P67" i="5" s="1"/>
  <c r="L67" i="5"/>
  <c r="N68" i="5"/>
  <c r="P68" i="5" s="1"/>
  <c r="L68" i="5"/>
  <c r="N57" i="5"/>
  <c r="P57" i="5" s="1"/>
  <c r="L57" i="5"/>
  <c r="M117" i="5"/>
  <c r="K117" i="5"/>
  <c r="L62" i="5"/>
  <c r="N62" i="5"/>
  <c r="P62" i="5" s="1"/>
  <c r="N56" i="5"/>
  <c r="P56" i="5" s="1"/>
  <c r="L56" i="5"/>
  <c r="N80" i="5"/>
  <c r="P80" i="5" s="1"/>
  <c r="L80" i="5"/>
  <c r="L63" i="5"/>
  <c r="N63" i="5"/>
  <c r="P63" i="5" s="1"/>
  <c r="N60" i="5"/>
  <c r="P60" i="5" s="1"/>
  <c r="L60" i="5"/>
  <c r="N75" i="5"/>
  <c r="P75" i="5" s="1"/>
  <c r="L75" i="5"/>
  <c r="N72" i="5"/>
  <c r="P72" i="5" s="1"/>
  <c r="L72" i="5"/>
  <c r="N66" i="5"/>
  <c r="P66" i="5" s="1"/>
  <c r="L66" i="5"/>
  <c r="L70" i="5"/>
  <c r="N70" i="5"/>
  <c r="P70" i="5" s="1"/>
  <c r="N126" i="5"/>
  <c r="P126" i="5" s="1"/>
  <c r="L126" i="5"/>
  <c r="N121" i="5"/>
  <c r="P121" i="5" s="1"/>
  <c r="L121" i="5"/>
  <c r="L123" i="5"/>
  <c r="N123" i="5"/>
  <c r="P123" i="5" s="1"/>
  <c r="N114" i="5"/>
  <c r="P114" i="5" s="1"/>
  <c r="L114" i="5"/>
  <c r="N134" i="5"/>
  <c r="P134" i="5" s="1"/>
  <c r="L134" i="5"/>
  <c r="N118" i="5"/>
  <c r="P118" i="5" s="1"/>
  <c r="L118" i="5"/>
  <c r="N128" i="5"/>
  <c r="P128" i="5" s="1"/>
  <c r="L128" i="5"/>
  <c r="N130" i="5"/>
  <c r="P130" i="5" s="1"/>
  <c r="L130" i="5"/>
  <c r="L115" i="5"/>
  <c r="N115" i="5"/>
  <c r="P115" i="5" s="1"/>
  <c r="L132" i="5"/>
  <c r="N132" i="5"/>
  <c r="P132" i="5" s="1"/>
  <c r="L133" i="5"/>
  <c r="N133" i="5"/>
  <c r="P133" i="5" s="1"/>
  <c r="N120" i="5"/>
  <c r="P120" i="5" s="1"/>
  <c r="L120" i="5"/>
  <c r="N23" i="5"/>
  <c r="P23" i="5" s="1"/>
  <c r="N135" i="5"/>
  <c r="P135" i="5" s="1"/>
  <c r="L135" i="5"/>
  <c r="N131" i="5"/>
  <c r="P131" i="5" s="1"/>
  <c r="L131" i="5"/>
  <c r="N122" i="5"/>
  <c r="P122" i="5" s="1"/>
  <c r="L122" i="5"/>
  <c r="N129" i="5"/>
  <c r="P129" i="5" s="1"/>
  <c r="L129" i="5"/>
  <c r="N82" i="5"/>
  <c r="P82" i="5" s="1"/>
  <c r="L82" i="5"/>
  <c r="L42" i="5"/>
  <c r="N42" i="5"/>
  <c r="P42" i="5" s="1"/>
  <c r="N35" i="5"/>
  <c r="P35" i="5" s="1"/>
  <c r="L35" i="5"/>
  <c r="N54" i="5"/>
  <c r="P54" i="5" s="1"/>
  <c r="L54" i="5"/>
  <c r="N39" i="5"/>
  <c r="P39" i="5" s="1"/>
  <c r="L39" i="5"/>
  <c r="N46" i="5"/>
  <c r="P46" i="5" s="1"/>
  <c r="L46" i="5"/>
  <c r="N37" i="5"/>
  <c r="P37" i="5" s="1"/>
  <c r="L37" i="5"/>
  <c r="N86" i="5"/>
  <c r="P86" i="5" s="1"/>
  <c r="L86" i="5"/>
  <c r="N47" i="5"/>
  <c r="P47" i="5" s="1"/>
  <c r="L47" i="5"/>
  <c r="N53" i="5"/>
  <c r="P53" i="5" s="1"/>
  <c r="L53" i="5"/>
  <c r="L48" i="5"/>
  <c r="N48" i="5"/>
  <c r="P48" i="5" s="1"/>
  <c r="N43" i="5"/>
  <c r="P43" i="5" s="1"/>
  <c r="L43" i="5"/>
  <c r="N38" i="5"/>
  <c r="P38" i="5" s="1"/>
  <c r="L38" i="5"/>
  <c r="L85" i="5"/>
  <c r="N85" i="5"/>
  <c r="P85" i="5" s="1"/>
  <c r="N36" i="5"/>
  <c r="P36" i="5" s="1"/>
  <c r="L36" i="5"/>
  <c r="N52" i="5"/>
  <c r="P52" i="5" s="1"/>
  <c r="L52" i="5"/>
  <c r="N44" i="5"/>
  <c r="P44" i="5" s="1"/>
  <c r="L44" i="5"/>
  <c r="N87" i="5"/>
  <c r="P87" i="5" s="1"/>
  <c r="L87" i="5"/>
  <c r="L49" i="5"/>
  <c r="N49" i="5"/>
  <c r="P49" i="5" s="1"/>
  <c r="L83" i="5"/>
  <c r="N83" i="5"/>
  <c r="P83" i="5" s="1"/>
  <c r="L84" i="5"/>
  <c r="N84" i="5"/>
  <c r="P84" i="5" s="1"/>
  <c r="L41" i="5"/>
  <c r="N41" i="5"/>
  <c r="P41" i="5" s="1"/>
  <c r="N51" i="5"/>
  <c r="P51" i="5" s="1"/>
  <c r="L51" i="5"/>
  <c r="L50" i="5"/>
  <c r="N50" i="5"/>
  <c r="P50" i="5" s="1"/>
  <c r="N45" i="5"/>
  <c r="P45" i="5" s="1"/>
  <c r="L45" i="5"/>
  <c r="L40" i="5"/>
  <c r="N40" i="5"/>
  <c r="P40" i="5" s="1"/>
  <c r="N139" i="5"/>
  <c r="P139" i="5" s="1"/>
  <c r="L139" i="5"/>
  <c r="N140" i="5"/>
  <c r="P140" i="5" s="1"/>
  <c r="L140" i="5"/>
  <c r="N141" i="5"/>
  <c r="P141" i="5" s="1"/>
  <c r="L141" i="5"/>
  <c r="L98" i="5"/>
  <c r="N98" i="5"/>
  <c r="P98" i="5" s="1"/>
  <c r="N95" i="5"/>
  <c r="P95" i="5" s="1"/>
  <c r="L95" i="5"/>
  <c r="L91" i="5"/>
  <c r="N91" i="5"/>
  <c r="P91" i="5" s="1"/>
  <c r="N93" i="5"/>
  <c r="P93" i="5" s="1"/>
  <c r="L93" i="5"/>
  <c r="N92" i="5"/>
  <c r="P92" i="5" s="1"/>
  <c r="L92" i="5"/>
  <c r="N94" i="5"/>
  <c r="P94" i="5" s="1"/>
  <c r="L94" i="5"/>
  <c r="L99" i="5"/>
  <c r="N99" i="5"/>
  <c r="P99" i="5" s="1"/>
  <c r="N100" i="5"/>
  <c r="P100" i="5" s="1"/>
  <c r="L100" i="5"/>
  <c r="N96" i="5"/>
  <c r="P96" i="5" s="1"/>
  <c r="L96" i="5"/>
  <c r="N101" i="5"/>
  <c r="P101" i="5" s="1"/>
  <c r="L101" i="5"/>
  <c r="L90" i="5"/>
  <c r="N90" i="5"/>
  <c r="P90" i="5" s="1"/>
  <c r="N25" i="5"/>
  <c r="P25" i="5" s="1"/>
  <c r="L25" i="5"/>
  <c r="N29" i="5"/>
  <c r="P29" i="5" s="1"/>
  <c r="L29" i="5"/>
  <c r="L31" i="5"/>
  <c r="N31" i="5"/>
  <c r="P31" i="5" s="1"/>
  <c r="N21" i="5"/>
  <c r="P21" i="5" s="1"/>
  <c r="L21" i="5"/>
  <c r="N34" i="5"/>
  <c r="P34" i="5" s="1"/>
  <c r="L34" i="5"/>
  <c r="N27" i="5"/>
  <c r="P27" i="5" s="1"/>
  <c r="L27" i="5"/>
  <c r="N26" i="5"/>
  <c r="P26" i="5" s="1"/>
  <c r="L26" i="5"/>
  <c r="L30" i="5"/>
  <c r="N30" i="5"/>
  <c r="P30" i="5" s="1"/>
  <c r="N28" i="5"/>
  <c r="P28" i="5" s="1"/>
  <c r="L28" i="5"/>
  <c r="L32" i="5"/>
  <c r="N32" i="5"/>
  <c r="P32" i="5" s="1"/>
  <c r="L24" i="5"/>
  <c r="N24" i="5"/>
  <c r="P24" i="5" s="1"/>
  <c r="N33" i="5"/>
  <c r="P33" i="5" s="1"/>
  <c r="L33" i="5"/>
  <c r="L22" i="5"/>
  <c r="N22" i="5"/>
  <c r="P22" i="5" s="1"/>
  <c r="L111" i="5"/>
  <c r="N111" i="5"/>
  <c r="P111" i="5" s="1"/>
  <c r="N136" i="5"/>
  <c r="P136" i="5" s="1"/>
  <c r="L136" i="5"/>
  <c r="N106" i="5"/>
  <c r="P106" i="5" s="1"/>
  <c r="L106" i="5"/>
  <c r="N113" i="5"/>
  <c r="P113" i="5" s="1"/>
  <c r="L113" i="5"/>
  <c r="L103" i="5"/>
  <c r="N103" i="5"/>
  <c r="P103" i="5" s="1"/>
  <c r="N110" i="5"/>
  <c r="P110" i="5" s="1"/>
  <c r="L110" i="5"/>
  <c r="N105" i="5"/>
  <c r="P105" i="5" s="1"/>
  <c r="L105" i="5"/>
  <c r="L112" i="5"/>
  <c r="N112" i="5"/>
  <c r="P112" i="5" s="1"/>
  <c r="N109" i="5"/>
  <c r="P109" i="5" s="1"/>
  <c r="L109" i="5"/>
  <c r="N107" i="5"/>
  <c r="P107" i="5" s="1"/>
  <c r="L107" i="5"/>
  <c r="L104" i="5"/>
  <c r="N104" i="5"/>
  <c r="P104" i="5" s="1"/>
  <c r="N108" i="5"/>
  <c r="P108" i="5" s="1"/>
  <c r="L108" i="5"/>
  <c r="L20" i="5"/>
  <c r="N20" i="5"/>
  <c r="P20" i="5" s="1"/>
  <c r="L11" i="5"/>
  <c r="N11" i="5"/>
  <c r="P11" i="5" s="1"/>
  <c r="L137" i="5"/>
  <c r="N137" i="5"/>
  <c r="P137" i="5" s="1"/>
  <c r="L14" i="5"/>
  <c r="N14" i="5"/>
  <c r="P14" i="5" s="1"/>
  <c r="N12" i="5"/>
  <c r="P12" i="5" s="1"/>
  <c r="L12" i="5"/>
  <c r="N88" i="5"/>
  <c r="P88" i="5" s="1"/>
  <c r="L88" i="5"/>
  <c r="L19" i="5"/>
  <c r="N19" i="5"/>
  <c r="P19" i="5" s="1"/>
  <c r="N16" i="5"/>
  <c r="P16" i="5" s="1"/>
  <c r="L16" i="5"/>
  <c r="L17" i="5"/>
  <c r="N17" i="5"/>
  <c r="P17" i="5" s="1"/>
  <c r="N15" i="5"/>
  <c r="P15" i="5" s="1"/>
  <c r="L15" i="5"/>
  <c r="N13" i="5"/>
  <c r="P13" i="5" s="1"/>
  <c r="L13" i="5"/>
  <c r="L125" i="5" l="1"/>
  <c r="N125" i="5"/>
  <c r="P125" i="5" s="1"/>
  <c r="L117" i="5"/>
  <c r="N117" i="5"/>
  <c r="P117" i="5" s="1"/>
  <c r="I2" i="5" l="1"/>
  <c r="J2" i="5" s="1"/>
  <c r="I3" i="5"/>
  <c r="J3" i="5" s="1"/>
  <c r="M3" i="5" s="1"/>
  <c r="I4" i="5"/>
  <c r="J4" i="5" s="1"/>
  <c r="I5" i="5"/>
  <c r="J5" i="5" s="1"/>
  <c r="K5" i="5" s="1"/>
  <c r="L5" i="5" s="1"/>
  <c r="I6" i="5"/>
  <c r="J6" i="5" s="1"/>
  <c r="I7" i="5"/>
  <c r="J7" i="5" s="1"/>
  <c r="K7" i="5" s="1"/>
  <c r="L7" i="5" s="1"/>
  <c r="I8" i="5"/>
  <c r="J8" i="5" s="1"/>
  <c r="I9" i="5"/>
  <c r="J9" i="5" s="1"/>
  <c r="I138" i="5"/>
  <c r="J138" i="5" s="1"/>
  <c r="M7" i="5" l="1"/>
  <c r="M9" i="5"/>
  <c r="K9" i="5"/>
  <c r="L9" i="5" s="1"/>
  <c r="K6" i="5"/>
  <c r="L6" i="5" s="1"/>
  <c r="M6" i="5"/>
  <c r="K138" i="5"/>
  <c r="L138" i="5" s="1"/>
  <c r="M138" i="5"/>
  <c r="K2" i="5"/>
  <c r="L2" i="5" s="1"/>
  <c r="M2" i="5"/>
  <c r="K8" i="5"/>
  <c r="L8" i="5" s="1"/>
  <c r="M8" i="5"/>
  <c r="K4" i="5"/>
  <c r="L4" i="5" s="1"/>
  <c r="M4" i="5"/>
  <c r="K3" i="5"/>
  <c r="L3" i="5" s="1"/>
  <c r="M5" i="5"/>
  <c r="H4" i="7"/>
  <c r="G142" i="5" l="1"/>
  <c r="G39" i="9"/>
  <c r="G39" i="10"/>
  <c r="G39" i="8"/>
  <c r="F4" i="7" l="1"/>
  <c r="G19" i="7" l="1"/>
  <c r="H19" i="7"/>
  <c r="I19" i="7"/>
  <c r="J19" i="7"/>
  <c r="K19" i="7"/>
  <c r="F19" i="7"/>
  <c r="K18" i="7" l="1"/>
  <c r="J18" i="7"/>
  <c r="I18" i="7"/>
  <c r="H18" i="7"/>
  <c r="G18" i="7"/>
  <c r="F18" i="7"/>
  <c r="K16" i="7"/>
  <c r="J16" i="7"/>
  <c r="I16" i="7"/>
  <c r="H16" i="7"/>
  <c r="G16" i="7"/>
  <c r="F16" i="7"/>
  <c r="K14" i="7"/>
  <c r="K15" i="7" s="1"/>
  <c r="J14" i="7"/>
  <c r="J15" i="7" s="1"/>
  <c r="I14" i="7"/>
  <c r="I15" i="7" s="1"/>
  <c r="H14" i="7"/>
  <c r="H15" i="7" s="1"/>
  <c r="G14" i="7"/>
  <c r="G15" i="7" s="1"/>
  <c r="F14" i="7"/>
  <c r="K17" i="7"/>
  <c r="J17" i="7"/>
  <c r="I17" i="7"/>
  <c r="H17" i="7"/>
  <c r="G17" i="7"/>
  <c r="F17" i="7"/>
  <c r="F15" i="7" l="1"/>
  <c r="G13" i="7"/>
  <c r="K13" i="7"/>
  <c r="H13" i="7"/>
  <c r="I4" i="8" s="1"/>
  <c r="J13" i="7"/>
  <c r="I13" i="7"/>
  <c r="I5" i="8" l="1"/>
  <c r="I6" i="8"/>
  <c r="F13" i="7"/>
  <c r="J3" i="7" l="1"/>
  <c r="O3" i="7" s="1"/>
  <c r="N3" i="7"/>
  <c r="Q3" i="7" s="1"/>
  <c r="L3" i="7"/>
  <c r="P3" i="7" s="1"/>
  <c r="O4" i="7" l="1"/>
  <c r="J5" i="8"/>
  <c r="K5" i="8" s="1"/>
  <c r="I2" i="9"/>
  <c r="I6" i="9"/>
  <c r="I22" i="9"/>
  <c r="I38" i="9"/>
  <c r="I21" i="9"/>
  <c r="I37" i="9"/>
  <c r="I8" i="9"/>
  <c r="I24" i="9"/>
  <c r="I7" i="9"/>
  <c r="I4" i="9"/>
  <c r="I3" i="9"/>
  <c r="I18" i="9"/>
  <c r="I34" i="9"/>
  <c r="I17" i="9"/>
  <c r="I33" i="9"/>
  <c r="I20" i="9"/>
  <c r="I36" i="9"/>
  <c r="I35" i="9"/>
  <c r="I19" i="9"/>
  <c r="I31" i="9"/>
  <c r="I5" i="9"/>
  <c r="I14" i="9"/>
  <c r="I30" i="9"/>
  <c r="I13" i="9"/>
  <c r="I29" i="9"/>
  <c r="I16" i="9"/>
  <c r="I32" i="9"/>
  <c r="I15" i="9"/>
  <c r="I10" i="9"/>
  <c r="I26" i="9"/>
  <c r="I9" i="9"/>
  <c r="I25" i="9"/>
  <c r="I12" i="9"/>
  <c r="I28" i="9"/>
  <c r="I11" i="9"/>
  <c r="I27" i="9"/>
  <c r="I23" i="9"/>
  <c r="I3" i="10"/>
  <c r="I8" i="10"/>
  <c r="I24" i="10"/>
  <c r="I19" i="10"/>
  <c r="I35" i="10"/>
  <c r="I10" i="10"/>
  <c r="I26" i="10"/>
  <c r="I9" i="10"/>
  <c r="I25" i="10"/>
  <c r="I20" i="10"/>
  <c r="I36" i="10"/>
  <c r="I15" i="10"/>
  <c r="I31" i="10"/>
  <c r="I6" i="10"/>
  <c r="I22" i="10"/>
  <c r="I38" i="10"/>
  <c r="I21" i="10"/>
  <c r="I37" i="10"/>
  <c r="I33" i="10"/>
  <c r="I5" i="10"/>
  <c r="I16" i="10"/>
  <c r="I32" i="10"/>
  <c r="I11" i="10"/>
  <c r="I27" i="10"/>
  <c r="I18" i="10"/>
  <c r="I34" i="10"/>
  <c r="I17" i="10"/>
  <c r="I4" i="10"/>
  <c r="I2" i="10"/>
  <c r="I12" i="10"/>
  <c r="I28" i="10"/>
  <c r="I7" i="10"/>
  <c r="I23" i="10"/>
  <c r="I14" i="10"/>
  <c r="I30" i="10"/>
  <c r="I13" i="10"/>
  <c r="I29" i="10"/>
  <c r="I13" i="8"/>
  <c r="I29" i="8"/>
  <c r="I28" i="8"/>
  <c r="I34" i="8"/>
  <c r="I16" i="8"/>
  <c r="I15" i="8"/>
  <c r="I31" i="8"/>
  <c r="I14" i="8"/>
  <c r="I8" i="8"/>
  <c r="I3" i="8"/>
  <c r="I9" i="8"/>
  <c r="I25" i="8"/>
  <c r="I24" i="8"/>
  <c r="I26" i="8"/>
  <c r="I12" i="8"/>
  <c r="I11" i="8"/>
  <c r="I27" i="8"/>
  <c r="I10" i="8"/>
  <c r="I38" i="8"/>
  <c r="I30" i="8"/>
  <c r="I21" i="8"/>
  <c r="I37" i="8"/>
  <c r="I18" i="8"/>
  <c r="I36" i="8"/>
  <c r="I23" i="8"/>
  <c r="I2" i="8"/>
  <c r="J2" i="8" s="1"/>
  <c r="K2" i="8" s="1"/>
  <c r="I17" i="8"/>
  <c r="I33" i="8"/>
  <c r="I32" i="8"/>
  <c r="I20" i="8"/>
  <c r="I19" i="8"/>
  <c r="I35" i="8"/>
  <c r="I22" i="8"/>
  <c r="I7" i="8"/>
  <c r="J33" i="8" l="1"/>
  <c r="J22" i="8"/>
  <c r="J32" i="8"/>
  <c r="J6" i="8"/>
  <c r="K6" i="8" s="1"/>
  <c r="J37" i="8"/>
  <c r="J38" i="8"/>
  <c r="J12" i="8"/>
  <c r="J9" i="8"/>
  <c r="K9" i="8" s="1"/>
  <c r="J31" i="8"/>
  <c r="J28" i="8"/>
  <c r="J29" i="10"/>
  <c r="J23" i="10"/>
  <c r="J2" i="10"/>
  <c r="J18" i="10"/>
  <c r="J16" i="10"/>
  <c r="J21" i="10"/>
  <c r="J31" i="10"/>
  <c r="J25" i="10"/>
  <c r="J35" i="10"/>
  <c r="J3" i="10"/>
  <c r="J23" i="9"/>
  <c r="J12" i="9"/>
  <c r="J10" i="9"/>
  <c r="J29" i="9"/>
  <c r="J5" i="9"/>
  <c r="J36" i="9"/>
  <c r="J34" i="9"/>
  <c r="J7" i="9"/>
  <c r="J21" i="9"/>
  <c r="J2" i="9"/>
  <c r="J7" i="8"/>
  <c r="K7" i="8" s="1"/>
  <c r="L2" i="8"/>
  <c r="M2" i="8"/>
  <c r="J18" i="8"/>
  <c r="J30" i="8"/>
  <c r="J11" i="8"/>
  <c r="J25" i="8"/>
  <c r="J14" i="8"/>
  <c r="J34" i="8"/>
  <c r="J14" i="10"/>
  <c r="J12" i="10"/>
  <c r="J34" i="10"/>
  <c r="J32" i="10"/>
  <c r="J37" i="10"/>
  <c r="J6" i="10"/>
  <c r="J20" i="10"/>
  <c r="J10" i="10"/>
  <c r="J8" i="10"/>
  <c r="J28" i="9"/>
  <c r="J26" i="9"/>
  <c r="J16" i="9"/>
  <c r="J14" i="9"/>
  <c r="J35" i="9"/>
  <c r="J17" i="9"/>
  <c r="J4" i="9"/>
  <c r="J37" i="9"/>
  <c r="J6" i="9"/>
  <c r="J20" i="8"/>
  <c r="J19" i="8"/>
  <c r="J17" i="8"/>
  <c r="J36" i="8"/>
  <c r="J4" i="8"/>
  <c r="K4" i="8" s="1"/>
  <c r="J27" i="8"/>
  <c r="J24" i="8"/>
  <c r="J8" i="8"/>
  <c r="K8" i="8" s="1"/>
  <c r="J16" i="8"/>
  <c r="J13" i="8"/>
  <c r="J30" i="10"/>
  <c r="J28" i="10"/>
  <c r="J17" i="10"/>
  <c r="J11" i="10"/>
  <c r="J33" i="10"/>
  <c r="J22" i="10"/>
  <c r="J36" i="10"/>
  <c r="J26" i="10"/>
  <c r="J24" i="10"/>
  <c r="J11" i="9"/>
  <c r="J9" i="9"/>
  <c r="J32" i="9"/>
  <c r="J30" i="9"/>
  <c r="J19" i="9"/>
  <c r="J33" i="9"/>
  <c r="J3" i="9"/>
  <c r="J8" i="9"/>
  <c r="J22" i="9"/>
  <c r="M5" i="8"/>
  <c r="J35" i="8"/>
  <c r="J23" i="8"/>
  <c r="J21" i="8"/>
  <c r="J10" i="8"/>
  <c r="K10" i="8" s="1"/>
  <c r="J26" i="8"/>
  <c r="J3" i="8"/>
  <c r="K3" i="8" s="1"/>
  <c r="J15" i="8"/>
  <c r="J29" i="8"/>
  <c r="J13" i="10"/>
  <c r="J7" i="10"/>
  <c r="J4" i="10"/>
  <c r="J27" i="10"/>
  <c r="J5" i="10"/>
  <c r="J38" i="10"/>
  <c r="J15" i="10"/>
  <c r="J9" i="10"/>
  <c r="J19" i="10"/>
  <c r="J27" i="9"/>
  <c r="J25" i="9"/>
  <c r="J15" i="9"/>
  <c r="J13" i="9"/>
  <c r="J31" i="9"/>
  <c r="J20" i="9"/>
  <c r="J18" i="9"/>
  <c r="J24" i="9"/>
  <c r="J38" i="9"/>
  <c r="M142" i="5"/>
  <c r="N4" i="5"/>
  <c r="P4" i="5" s="1"/>
  <c r="N2" i="5"/>
  <c r="P2" i="5" s="1"/>
  <c r="N138" i="5"/>
  <c r="P138" i="5" s="1"/>
  <c r="N3" i="5"/>
  <c r="P3" i="5" s="1"/>
  <c r="N6" i="5"/>
  <c r="P6" i="5" s="1"/>
  <c r="N7" i="5"/>
  <c r="P7" i="5" s="1"/>
  <c r="N9" i="5"/>
  <c r="P9" i="5" s="1"/>
  <c r="N5" i="5"/>
  <c r="P5" i="5" s="1"/>
  <c r="N8" i="5"/>
  <c r="P8" i="5" s="1"/>
  <c r="K32" i="10" l="1"/>
  <c r="M32" i="10"/>
  <c r="K31" i="10"/>
  <c r="M31" i="10"/>
  <c r="K19" i="10"/>
  <c r="M19" i="10"/>
  <c r="K16" i="10"/>
  <c r="M16" i="10"/>
  <c r="K27" i="10"/>
  <c r="M27" i="10"/>
  <c r="K24" i="10"/>
  <c r="M24" i="10"/>
  <c r="K30" i="10"/>
  <c r="M30" i="10"/>
  <c r="K37" i="10"/>
  <c r="M37" i="10"/>
  <c r="K25" i="10"/>
  <c r="M25" i="10"/>
  <c r="K34" i="10"/>
  <c r="M34" i="10"/>
  <c r="K21" i="10"/>
  <c r="M21" i="10"/>
  <c r="K9" i="10"/>
  <c r="M9" i="10"/>
  <c r="K33" i="10"/>
  <c r="M33" i="10"/>
  <c r="K8" i="10"/>
  <c r="M8" i="10"/>
  <c r="K15" i="10"/>
  <c r="M15" i="10"/>
  <c r="K11" i="10"/>
  <c r="M11" i="10"/>
  <c r="K10" i="10"/>
  <c r="M10" i="10"/>
  <c r="K2" i="10"/>
  <c r="M2" i="10"/>
  <c r="K26" i="10"/>
  <c r="M26" i="10"/>
  <c r="K7" i="10"/>
  <c r="M7" i="10"/>
  <c r="K36" i="10"/>
  <c r="M36" i="10"/>
  <c r="K13" i="10"/>
  <c r="M13" i="10"/>
  <c r="K22" i="10"/>
  <c r="M22" i="10"/>
  <c r="K18" i="10"/>
  <c r="M18" i="10"/>
  <c r="K38" i="10"/>
  <c r="M38" i="10"/>
  <c r="K17" i="10"/>
  <c r="M17" i="10"/>
  <c r="K20" i="10"/>
  <c r="M20" i="10"/>
  <c r="M3" i="10"/>
  <c r="K3" i="10"/>
  <c r="N3" i="10" s="1"/>
  <c r="K23" i="10"/>
  <c r="M23" i="10"/>
  <c r="K4" i="10"/>
  <c r="N4" i="10" s="1"/>
  <c r="M4" i="10"/>
  <c r="K12" i="10"/>
  <c r="M12" i="10"/>
  <c r="K14" i="10"/>
  <c r="M14" i="10"/>
  <c r="K5" i="10"/>
  <c r="M5" i="10"/>
  <c r="K28" i="10"/>
  <c r="M28" i="10"/>
  <c r="K6" i="10"/>
  <c r="M6" i="10"/>
  <c r="K35" i="10"/>
  <c r="M35" i="10"/>
  <c r="K29" i="10"/>
  <c r="M29" i="10"/>
  <c r="K31" i="9"/>
  <c r="M31" i="9"/>
  <c r="M24" i="9"/>
  <c r="K24" i="9"/>
  <c r="K20" i="9"/>
  <c r="M20" i="9"/>
  <c r="M13" i="9"/>
  <c r="K13" i="9"/>
  <c r="M25" i="9"/>
  <c r="K25" i="9"/>
  <c r="K15" i="8"/>
  <c r="M15" i="8"/>
  <c r="K26" i="8"/>
  <c r="M26" i="8"/>
  <c r="M21" i="8"/>
  <c r="K21" i="8"/>
  <c r="K35" i="8"/>
  <c r="M35" i="8"/>
  <c r="M22" i="9"/>
  <c r="K22" i="9"/>
  <c r="K3" i="9"/>
  <c r="M3" i="9"/>
  <c r="K19" i="9"/>
  <c r="M19" i="9"/>
  <c r="K32" i="9"/>
  <c r="M32" i="9"/>
  <c r="K11" i="9"/>
  <c r="M11" i="9"/>
  <c r="M16" i="8"/>
  <c r="K16" i="8"/>
  <c r="M24" i="8"/>
  <c r="K24" i="8"/>
  <c r="M4" i="8"/>
  <c r="M17" i="8"/>
  <c r="K17" i="8"/>
  <c r="M20" i="8"/>
  <c r="K20" i="8"/>
  <c r="M37" i="9"/>
  <c r="K37" i="9"/>
  <c r="M17" i="9"/>
  <c r="K17" i="9"/>
  <c r="M14" i="9"/>
  <c r="K14" i="9"/>
  <c r="K26" i="9"/>
  <c r="M26" i="9"/>
  <c r="M34" i="8"/>
  <c r="K34" i="8"/>
  <c r="M25" i="8"/>
  <c r="K25" i="8"/>
  <c r="M30" i="8"/>
  <c r="K30" i="8"/>
  <c r="K2" i="9"/>
  <c r="M2" i="9"/>
  <c r="K7" i="9"/>
  <c r="M7" i="9"/>
  <c r="K36" i="9"/>
  <c r="M36" i="9"/>
  <c r="M29" i="9"/>
  <c r="K29" i="9"/>
  <c r="K12" i="9"/>
  <c r="M12" i="9"/>
  <c r="M28" i="8"/>
  <c r="K28" i="8"/>
  <c r="M9" i="8"/>
  <c r="K38" i="8"/>
  <c r="M38" i="8"/>
  <c r="M6" i="8"/>
  <c r="M22" i="8"/>
  <c r="K22" i="8"/>
  <c r="M18" i="9"/>
  <c r="K18" i="9"/>
  <c r="M15" i="9"/>
  <c r="K15" i="9"/>
  <c r="K27" i="9"/>
  <c r="M27" i="9"/>
  <c r="M29" i="8"/>
  <c r="K29" i="8"/>
  <c r="M3" i="8"/>
  <c r="M10" i="8"/>
  <c r="K23" i="8"/>
  <c r="M23" i="8"/>
  <c r="K8" i="9"/>
  <c r="M8" i="9"/>
  <c r="M33" i="9"/>
  <c r="K33" i="9"/>
  <c r="M30" i="9"/>
  <c r="K30" i="9"/>
  <c r="M9" i="9"/>
  <c r="K9" i="9"/>
  <c r="M13" i="8"/>
  <c r="K13" i="8"/>
  <c r="M8" i="8"/>
  <c r="K27" i="8"/>
  <c r="M27" i="8"/>
  <c r="M36" i="8"/>
  <c r="K36" i="8"/>
  <c r="M19" i="8"/>
  <c r="K19" i="8"/>
  <c r="M6" i="9"/>
  <c r="K6" i="9"/>
  <c r="K4" i="9"/>
  <c r="M4" i="9"/>
  <c r="K35" i="9"/>
  <c r="M35" i="9"/>
  <c r="K16" i="9"/>
  <c r="M16" i="9"/>
  <c r="K28" i="9"/>
  <c r="M28" i="9"/>
  <c r="M14" i="8"/>
  <c r="K14" i="8"/>
  <c r="M11" i="8"/>
  <c r="K11" i="8"/>
  <c r="K18" i="8"/>
  <c r="M18" i="8"/>
  <c r="M7" i="8"/>
  <c r="M21" i="9"/>
  <c r="K21" i="9"/>
  <c r="M34" i="9"/>
  <c r="K34" i="9"/>
  <c r="M5" i="9"/>
  <c r="K5" i="9"/>
  <c r="M10" i="9"/>
  <c r="K10" i="9"/>
  <c r="K23" i="9"/>
  <c r="M23" i="9"/>
  <c r="K31" i="8"/>
  <c r="M31" i="8"/>
  <c r="M12" i="8"/>
  <c r="K12" i="8"/>
  <c r="M37" i="8"/>
  <c r="K37" i="8"/>
  <c r="M32" i="8"/>
  <c r="K32" i="8"/>
  <c r="M33" i="8"/>
  <c r="K33" i="8"/>
  <c r="M38" i="9"/>
  <c r="K38" i="9"/>
  <c r="L5" i="8"/>
  <c r="N5" i="8"/>
  <c r="L142" i="5"/>
  <c r="N2" i="8"/>
  <c r="M39" i="8" l="1"/>
  <c r="L2" i="10"/>
  <c r="N2" i="10"/>
  <c r="L33" i="8"/>
  <c r="N33" i="8"/>
  <c r="L37" i="8"/>
  <c r="N37" i="8"/>
  <c r="L31" i="10"/>
  <c r="N31" i="10"/>
  <c r="L5" i="9"/>
  <c r="N5" i="9"/>
  <c r="L21" i="9"/>
  <c r="N21" i="9"/>
  <c r="L14" i="8"/>
  <c r="N14" i="8"/>
  <c r="L32" i="10"/>
  <c r="N32" i="10"/>
  <c r="L10" i="10"/>
  <c r="N10" i="10"/>
  <c r="L19" i="8"/>
  <c r="N19" i="8"/>
  <c r="L13" i="8"/>
  <c r="N13" i="8"/>
  <c r="L11" i="10"/>
  <c r="N11" i="10"/>
  <c r="L26" i="10"/>
  <c r="N26" i="10"/>
  <c r="L30" i="9"/>
  <c r="N30" i="9"/>
  <c r="L29" i="8"/>
  <c r="N29" i="8"/>
  <c r="L27" i="10"/>
  <c r="N27" i="10"/>
  <c r="L9" i="10"/>
  <c r="N9" i="10"/>
  <c r="L15" i="9"/>
  <c r="N15" i="9"/>
  <c r="L7" i="9"/>
  <c r="N7" i="9"/>
  <c r="L20" i="10"/>
  <c r="N20" i="10"/>
  <c r="L26" i="9"/>
  <c r="N26" i="9"/>
  <c r="L11" i="9"/>
  <c r="N11" i="9"/>
  <c r="L19" i="9"/>
  <c r="N19" i="9"/>
  <c r="L15" i="8"/>
  <c r="N15" i="8"/>
  <c r="L20" i="9"/>
  <c r="N20" i="9"/>
  <c r="L31" i="9"/>
  <c r="N31" i="9"/>
  <c r="M39" i="10"/>
  <c r="L38" i="9"/>
  <c r="N38" i="9"/>
  <c r="L29" i="10"/>
  <c r="N29" i="10"/>
  <c r="L23" i="9"/>
  <c r="N23" i="9"/>
  <c r="L16" i="10"/>
  <c r="N16" i="10"/>
  <c r="L28" i="9"/>
  <c r="N28" i="9"/>
  <c r="L35" i="9"/>
  <c r="N35" i="9"/>
  <c r="L22" i="10"/>
  <c r="N22" i="10"/>
  <c r="L23" i="8"/>
  <c r="N23" i="8"/>
  <c r="L27" i="9"/>
  <c r="N27" i="9"/>
  <c r="L6" i="8"/>
  <c r="N6" i="8"/>
  <c r="L9" i="8"/>
  <c r="N9" i="8"/>
  <c r="L23" i="10"/>
  <c r="N23" i="10"/>
  <c r="L21" i="10"/>
  <c r="N21" i="10"/>
  <c r="L3" i="10"/>
  <c r="L29" i="9"/>
  <c r="N29" i="9"/>
  <c r="L30" i="8"/>
  <c r="N30" i="8"/>
  <c r="L34" i="8"/>
  <c r="N34" i="8"/>
  <c r="L34" i="10"/>
  <c r="N34" i="10"/>
  <c r="L17" i="9"/>
  <c r="N17" i="9"/>
  <c r="L20" i="8"/>
  <c r="N20" i="8"/>
  <c r="L4" i="8"/>
  <c r="N4" i="8"/>
  <c r="L16" i="8"/>
  <c r="N16" i="8"/>
  <c r="L17" i="10"/>
  <c r="N17" i="10"/>
  <c r="L36" i="10"/>
  <c r="N36" i="10"/>
  <c r="L22" i="9"/>
  <c r="N22" i="9"/>
  <c r="L21" i="8"/>
  <c r="N21" i="8"/>
  <c r="L4" i="10"/>
  <c r="L15" i="10"/>
  <c r="N15" i="10"/>
  <c r="L25" i="9"/>
  <c r="N25" i="9"/>
  <c r="L32" i="8"/>
  <c r="N32" i="8"/>
  <c r="L12" i="8"/>
  <c r="N12" i="8"/>
  <c r="L35" i="10"/>
  <c r="N35" i="10"/>
  <c r="L10" i="9"/>
  <c r="N10" i="9"/>
  <c r="L34" i="9"/>
  <c r="N34" i="9"/>
  <c r="L7" i="8"/>
  <c r="N7" i="8"/>
  <c r="L11" i="8"/>
  <c r="N11" i="8"/>
  <c r="L12" i="10"/>
  <c r="N12" i="10"/>
  <c r="L6" i="10"/>
  <c r="N6" i="10"/>
  <c r="L6" i="9"/>
  <c r="N6" i="9"/>
  <c r="L36" i="8"/>
  <c r="N36" i="8"/>
  <c r="L8" i="8"/>
  <c r="N8" i="8"/>
  <c r="L28" i="10"/>
  <c r="N28" i="10"/>
  <c r="L9" i="9"/>
  <c r="N9" i="9"/>
  <c r="L33" i="9"/>
  <c r="N33" i="9"/>
  <c r="L3" i="8"/>
  <c r="N3" i="8"/>
  <c r="L7" i="10"/>
  <c r="N7" i="10"/>
  <c r="L38" i="10"/>
  <c r="N38" i="10"/>
  <c r="L18" i="9"/>
  <c r="N18" i="9"/>
  <c r="L38" i="8"/>
  <c r="N38" i="8"/>
  <c r="L18" i="10"/>
  <c r="N18" i="10"/>
  <c r="L12" i="9"/>
  <c r="N12" i="9"/>
  <c r="L36" i="9"/>
  <c r="N36" i="9"/>
  <c r="L2" i="9"/>
  <c r="N2" i="9"/>
  <c r="L24" i="10"/>
  <c r="N24" i="10"/>
  <c r="L32" i="9"/>
  <c r="N32" i="9"/>
  <c r="L3" i="9"/>
  <c r="N3" i="9"/>
  <c r="L35" i="8"/>
  <c r="N35" i="8"/>
  <c r="L26" i="8"/>
  <c r="N26" i="8"/>
  <c r="L31" i="8"/>
  <c r="N31" i="8"/>
  <c r="L18" i="8"/>
  <c r="N18" i="8"/>
  <c r="L16" i="9"/>
  <c r="N16" i="9"/>
  <c r="L4" i="9"/>
  <c r="N4" i="9"/>
  <c r="L27" i="8"/>
  <c r="N27" i="8"/>
  <c r="L8" i="9"/>
  <c r="N8" i="9"/>
  <c r="L10" i="8"/>
  <c r="N10" i="8"/>
  <c r="L22" i="8"/>
  <c r="N22" i="8"/>
  <c r="L28" i="8"/>
  <c r="N28" i="8"/>
  <c r="L25" i="10"/>
  <c r="N25" i="10"/>
  <c r="L25" i="8"/>
  <c r="N25" i="8"/>
  <c r="L14" i="10"/>
  <c r="N14" i="10"/>
  <c r="L37" i="10"/>
  <c r="N37" i="10"/>
  <c r="L8" i="10"/>
  <c r="N8" i="10"/>
  <c r="L14" i="9"/>
  <c r="N14" i="9"/>
  <c r="L37" i="9"/>
  <c r="N37" i="9"/>
  <c r="L17" i="8"/>
  <c r="N17" i="8"/>
  <c r="L24" i="8"/>
  <c r="N24" i="8"/>
  <c r="L30" i="10"/>
  <c r="N30" i="10"/>
  <c r="L33" i="10"/>
  <c r="N33" i="10"/>
  <c r="L13" i="10"/>
  <c r="N13" i="10"/>
  <c r="L5" i="10"/>
  <c r="N5" i="10"/>
  <c r="L19" i="10"/>
  <c r="N19" i="10"/>
  <c r="L13" i="9"/>
  <c r="N13" i="9"/>
  <c r="L24" i="9"/>
  <c r="N24" i="9"/>
  <c r="M39" i="9"/>
  <c r="L39" i="10" l="1"/>
  <c r="L39" i="9"/>
  <c r="L39" i="8"/>
  <c r="R3" i="7" s="1"/>
  <c r="R4" i="7" l="1"/>
</calcChain>
</file>

<file path=xl/sharedStrings.xml><?xml version="1.0" encoding="utf-8"?>
<sst xmlns="http://schemas.openxmlformats.org/spreadsheetml/2006/main" count="777" uniqueCount="134">
  <si>
    <t>Наименование муниципалитета</t>
  </si>
  <si>
    <t>Организация 1</t>
  </si>
  <si>
    <t>Организация 2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</si>
  <si>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</si>
  <si>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</si>
  <si>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</si>
  <si>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</si>
  <si>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</si>
  <si>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Количество учебных недель в году</t>
  </si>
  <si>
    <t>Направленность</t>
  </si>
  <si>
    <t>Коэффициент доли работников АУП</t>
  </si>
  <si>
    <t>Минимальное число детей в группе</t>
  </si>
  <si>
    <t>Сумма затрат на повышение квалификации, в день</t>
  </si>
  <si>
    <t>Максимальное число детей в группе</t>
  </si>
  <si>
    <t>Стоимость медосмотра</t>
  </si>
  <si>
    <t>Нормативные затраты на час, всего</t>
  </si>
  <si>
    <t>Затраты на содержание имущества, на час реализации программы</t>
  </si>
  <si>
    <t>Затраты на оплату труда педагогических работников</t>
  </si>
  <si>
    <t>Стоимость комплекта средств обучения, по направленностям</t>
  </si>
  <si>
    <t>Затраты на оплату труда АУП</t>
  </si>
  <si>
    <t>Затраты на повышение квал-ии и медосмотры</t>
  </si>
  <si>
    <t>Затраты на приобретение средств обучения и учебной литературы</t>
  </si>
  <si>
    <t>Затраты на содержание имущества</t>
  </si>
  <si>
    <t>Норматив использования средств обучения в часах в год</t>
  </si>
  <si>
    <t>Стоимость учебного пособия</t>
  </si>
  <si>
    <t>Средняя зарплата по региону (целевой индикатор по Указу)</t>
  </si>
  <si>
    <t>Учреждение</t>
  </si>
  <si>
    <t>Программа</t>
  </si>
  <si>
    <t>Количество мест</t>
  </si>
  <si>
    <t>Норматив затрат по ПФ</t>
  </si>
  <si>
    <t>х</t>
  </si>
  <si>
    <t>Количество учебных часов в неделю</t>
  </si>
  <si>
    <t>Предполагаемая цена за чел/час</t>
  </si>
  <si>
    <r>
      <t>Среднее число учащихся на педагога Q</t>
    </r>
    <r>
      <rPr>
        <vertAlign val="subscript"/>
        <sz val="12"/>
        <color theme="1"/>
        <rFont val="Calibri"/>
        <family val="2"/>
        <charset val="204"/>
        <scheme val="minor"/>
      </rPr>
      <t>сред</t>
    </r>
  </si>
  <si>
    <r>
      <t>Средняя норма часов в год на одного ребенка V</t>
    </r>
    <r>
      <rPr>
        <vertAlign val="subscript"/>
        <sz val="12"/>
        <color theme="1"/>
        <rFont val="Calibri"/>
        <family val="2"/>
        <charset val="204"/>
        <scheme val="minor"/>
      </rPr>
      <t>час</t>
    </r>
  </si>
  <si>
    <t>Выделенный объем финансового обеспечения, рублей</t>
  </si>
  <si>
    <t>ДОХОД учреждения по ПФ ДОД</t>
  </si>
  <si>
    <t>Требуется дополнительно выделить</t>
  </si>
  <si>
    <t>Организация 3</t>
  </si>
  <si>
    <t>Установленный охват общий, %</t>
  </si>
  <si>
    <t>Справочно число педчасов на указную зарплату при установленных параметрах</t>
  </si>
  <si>
    <t>Численность детей от 5 до 18 лет, всего</t>
  </si>
  <si>
    <t>Социально-гуманитарная</t>
  </si>
  <si>
    <t>Объем муниципального задания ПФДОД, человеко-часов</t>
  </si>
  <si>
    <t>Установленный охват ПФ ДОД</t>
  </si>
  <si>
    <t>Количество учебных недель в периоде обучения</t>
  </si>
  <si>
    <t>Стоимость 1 места в периоде обучения</t>
  </si>
  <si>
    <t>Оплата 1 места в периоде обучения сертификатом</t>
  </si>
  <si>
    <t>Доплата со стороны родителей за 1 место в периоде обучения</t>
  </si>
  <si>
    <t>Отраслевые коэффициенты</t>
  </si>
  <si>
    <t>Адаптированная программа для детей с ОВЗ</t>
  </si>
  <si>
    <t>Программа в дистанционной форме</t>
  </si>
  <si>
    <t>Программа в очно-заочной форме</t>
  </si>
  <si>
    <t>Объем муниципального задания ПФ ДОД, человеко-часов</t>
  </si>
  <si>
    <t>Количество часов программы, покрываемое сертификатом</t>
  </si>
  <si>
    <t>Количество часов программы, покрываемое сертификатом для детей с ОВЗ</t>
  </si>
  <si>
    <t>* Не может быть менее устанавливаемого для всех детей в возрасте от 5 до 18 лет</t>
  </si>
  <si>
    <t>Число сертификатов с определенным номиналом для  детей от 5 до 18 лет</t>
  </si>
  <si>
    <t>Число сертификатов с определенным номиналом для детей от 5 до 18 лет с ОВЗ</t>
  </si>
  <si>
    <t>Требуемый объем финансового обеспечения по категории ОВЗ, рублей</t>
  </si>
  <si>
    <t>Требуемый объем финансового обеспечения покатегории дети от 5 до 18 лет, рублей</t>
  </si>
  <si>
    <t>Количество часов программы, покрываемое сертификатом для детей по категории</t>
  </si>
  <si>
    <t>Коэффициент к дополнительной категории</t>
  </si>
  <si>
    <t>В том числе на гранты в форме субсидий (допустимое значение от 2% до 10%)</t>
  </si>
  <si>
    <t>Число сертификатов с определенным номиналом для детей по дополнительной категории</t>
  </si>
  <si>
    <t>Требуемый объем финансового обеспечения по дополнительной категории, рублей</t>
  </si>
  <si>
    <t>Число сертификатов ДО</t>
  </si>
  <si>
    <t>Норматив обеспечения сертификата для  детей от 5 до 18 лет, рублей</t>
  </si>
  <si>
    <t>Норматив обеспечения сертификата для детей от 5 до 18 лет с ОВЗ, рублей*</t>
  </si>
  <si>
    <t>Норматив обеспечения сертификата для детей по дополнительной категории, рублей*</t>
  </si>
  <si>
    <t>ГО Феодосия</t>
  </si>
  <si>
    <t>МБУ"ЦДТ"</t>
  </si>
  <si>
    <t>ЦДО "Интеллект"</t>
  </si>
  <si>
    <t>Актерское мастерство  1</t>
  </si>
  <si>
    <t>Актерское мастерство  2</t>
  </si>
  <si>
    <t>Актерское мастерство  3</t>
  </si>
  <si>
    <t>Актерское матсерство  3</t>
  </si>
  <si>
    <t>Актерское мастерство  4</t>
  </si>
  <si>
    <t>Актерское мастерство 4</t>
  </si>
  <si>
    <t>Актерское мастерство 5</t>
  </si>
  <si>
    <t>Актерское мастерство 6</t>
  </si>
  <si>
    <t>Вокальный ансамбль "Глория" 1</t>
  </si>
  <si>
    <t>Вокальный ансамбль "Глория" 2</t>
  </si>
  <si>
    <t>Театр песни "Алиса" 1</t>
  </si>
  <si>
    <t>Театр песни "Алиса" 2</t>
  </si>
  <si>
    <t>Ансамбль танца "Вдохновение" 1</t>
  </si>
  <si>
    <t>Ансамбль танца "Вдохновение" 2</t>
  </si>
  <si>
    <t>Ансамбль танца "Вдохновене" 2</t>
  </si>
  <si>
    <t>Студия  ДПИ и ИЗО "Гармония"</t>
  </si>
  <si>
    <t xml:space="preserve">Изостудия "Бирюза" </t>
  </si>
  <si>
    <t>Студия ДПИ и ИЗО "Колибри" 1</t>
  </si>
  <si>
    <t>Студия ДПИ и ИЗО "Колибри" 2</t>
  </si>
  <si>
    <t>Секция "Каратэ-до" 1</t>
  </si>
  <si>
    <t>Секция "Каратэ-до" 2</t>
  </si>
  <si>
    <t>Секция "Каратэ-до" 3</t>
  </si>
  <si>
    <t>Борьба "Нят-Нам" 1</t>
  </si>
  <si>
    <t>Борьба "Нят-Нам" 2</t>
  </si>
  <si>
    <t>Секция "Тхэквондо" 1</t>
  </si>
  <si>
    <t>Секция "Тхэквондо" 2</t>
  </si>
  <si>
    <t>Секция "Тхэквондо" 3</t>
  </si>
  <si>
    <t>Клуб дошкольников "Радуга" 1</t>
  </si>
  <si>
    <t>Клуб дошкольников "Радуга" 2</t>
  </si>
  <si>
    <t>Клуб дошк. "Умники и умницы" 1</t>
  </si>
  <si>
    <t>Клуб дошк. "Умники и умницы" 2</t>
  </si>
  <si>
    <t>Клуб дошкольников "Знайка"</t>
  </si>
  <si>
    <t>Клуб "Вундер-KID" 1</t>
  </si>
  <si>
    <t>Клуб "Вундер-KID" 2</t>
  </si>
  <si>
    <t>Клуб"Вундер -KID" 2</t>
  </si>
  <si>
    <t>Английский язык</t>
  </si>
  <si>
    <t xml:space="preserve">Английский язык </t>
  </si>
  <si>
    <t>Артист и точка</t>
  </si>
  <si>
    <t>Бусинка</t>
  </si>
  <si>
    <t>Картинг</t>
  </si>
  <si>
    <t>Китайский язык</t>
  </si>
  <si>
    <t>Компьютерная грамотность</t>
  </si>
  <si>
    <t>Крым - наш общий дом</t>
  </si>
  <si>
    <t>Крымоведение</t>
  </si>
  <si>
    <t>Меткий стрелок</t>
  </si>
  <si>
    <t>Биология</t>
  </si>
  <si>
    <t>Основы ветеринарии</t>
  </si>
  <si>
    <t>Механики по обслуживанию и ремонту картов</t>
  </si>
  <si>
    <t xml:space="preserve">Обществознание </t>
  </si>
  <si>
    <t>Основы эстрадного вокала</t>
  </si>
  <si>
    <t>Пешеходный туризм</t>
  </si>
  <si>
    <t>Робототехника</t>
  </si>
  <si>
    <t>Самоцветы</t>
  </si>
  <si>
    <t>Спортивный туризм</t>
  </si>
  <si>
    <t>Ступеньки здоровья</t>
  </si>
  <si>
    <t>Туристы краеведы</t>
  </si>
  <si>
    <t>Физико-техническая группа</t>
  </si>
  <si>
    <t>Школа Юнг</t>
  </si>
  <si>
    <t>Экология человека</t>
  </si>
  <si>
    <t>Юный художник</t>
  </si>
  <si>
    <t>Юнэко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</si>
</sst>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&quot;₽&quot;"/>
    <numFmt numFmtId="167" formatCode="#,##0\ &quot;₽&quot;"/>
    <numFmt numFmtId="168" formatCode="0.00_ ;[Red]\-0.00\ "/>
    <numFmt numFmtId="169" formatCode="#,##0_ ;\-#,##0\ "/>
    <numFmt numFmtId="170" formatCode="0.0%"/>
  </numFmts>
  <fonts count="25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Cyr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7" fillId="0" borderId="0"/>
  </cellStyleXfs>
  <cellXfs count="124">
    <xf numFmtId="0" fontId="0" fillId="0" borderId="0" xfId="0"/>
    <xf numFmtId="3" fontId="0" fillId="0" borderId="0" xfId="0" applyNumberFormat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0" fillId="3" borderId="1" xfId="0" applyFill="1" applyBorder="1" applyProtection="1">
      <protection locked="0"/>
    </xf>
    <xf numFmtId="165" fontId="0" fillId="0" borderId="1" xfId="1" applyFont="1" applyBorder="1" applyAlignment="1">
      <alignment wrapText="1"/>
    </xf>
    <xf numFmtId="165" fontId="0" fillId="0" borderId="1" xfId="0" applyNumberFormat="1" applyBorder="1"/>
    <xf numFmtId="1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5" fontId="0" fillId="0" borderId="0" xfId="1" applyFont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5" fontId="0" fillId="0" borderId="0" xfId="1" applyFo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1" applyFont="1" applyBorder="1" applyAlignment="1" applyProtection="1">
      <alignment horizontal="center" vertical="center" wrapText="1"/>
      <protection locked="0"/>
    </xf>
    <xf numFmtId="165" fontId="4" fillId="0" borderId="1" xfId="1" applyFont="1" applyBorder="1" applyAlignment="1">
      <alignment horizontal="center" vertical="center" wrapText="1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65" fontId="0" fillId="3" borderId="1" xfId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wrapText="1"/>
      <protection locked="0"/>
    </xf>
    <xf numFmtId="9" fontId="0" fillId="0" borderId="0" xfId="2" applyFont="1" applyAlignment="1">
      <alignment horizontal="center" wrapText="1"/>
    </xf>
    <xf numFmtId="165" fontId="0" fillId="0" borderId="0" xfId="1" applyNumberFormat="1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/>
    <xf numFmtId="165" fontId="14" fillId="0" borderId="1" xfId="1" applyFont="1" applyBorder="1" applyAlignment="1">
      <alignment horizontal="center" vertical="center" wrapText="1"/>
    </xf>
    <xf numFmtId="165" fontId="15" fillId="0" borderId="1" xfId="0" applyNumberFormat="1" applyFont="1" applyBorder="1"/>
    <xf numFmtId="0" fontId="14" fillId="0" borderId="1" xfId="0" applyFont="1" applyBorder="1" applyAlignment="1" applyProtection="1">
      <alignment horizontal="center"/>
      <protection locked="0"/>
    </xf>
    <xf numFmtId="0" fontId="15" fillId="0" borderId="0" xfId="0" applyFont="1"/>
    <xf numFmtId="165" fontId="16" fillId="0" borderId="1" xfId="1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>
      <alignment wrapText="1"/>
    </xf>
    <xf numFmtId="165" fontId="7" fillId="0" borderId="1" xfId="1" applyFont="1" applyBorder="1" applyAlignment="1">
      <alignment wrapText="1"/>
    </xf>
    <xf numFmtId="164" fontId="7" fillId="0" borderId="1" xfId="1" applyNumberFormat="1" applyFont="1" applyBorder="1" applyAlignment="1">
      <alignment wrapText="1"/>
    </xf>
    <xf numFmtId="169" fontId="0" fillId="0" borderId="1" xfId="1" applyNumberFormat="1" applyFont="1" applyFill="1" applyBorder="1" applyAlignment="1">
      <alignment wrapText="1"/>
    </xf>
    <xf numFmtId="169" fontId="7" fillId="0" borderId="1" xfId="1" applyNumberFormat="1" applyFont="1" applyBorder="1" applyAlignment="1">
      <alignment wrapText="1"/>
    </xf>
    <xf numFmtId="3" fontId="0" fillId="3" borderId="0" xfId="0" applyNumberFormat="1" applyFont="1" applyFill="1" applyAlignment="1" applyProtection="1">
      <alignment horizontal="center" vertical="center" wrapText="1"/>
      <protection locked="0"/>
    </xf>
    <xf numFmtId="4" fontId="0" fillId="3" borderId="0" xfId="0" applyNumberFormat="1" applyFill="1" applyAlignment="1" applyProtection="1">
      <alignment horizontal="center" wrapText="1"/>
      <protection locked="0"/>
    </xf>
    <xf numFmtId="3" fontId="0" fillId="3" borderId="0" xfId="0" applyNumberFormat="1" applyFill="1" applyAlignment="1" applyProtection="1">
      <alignment horizontal="center" wrapText="1"/>
      <protection locked="0"/>
    </xf>
    <xf numFmtId="3" fontId="0" fillId="3" borderId="0" xfId="0" applyNumberFormat="1" applyFill="1" applyAlignment="1" applyProtection="1">
      <alignment horizontal="center" vertical="center" wrapText="1"/>
      <protection locked="0"/>
    </xf>
    <xf numFmtId="1" fontId="0" fillId="3" borderId="0" xfId="0" applyNumberFormat="1" applyFill="1" applyAlignment="1" applyProtection="1">
      <alignment horizontal="center" vertical="center" wrapText="1"/>
      <protection locked="0"/>
    </xf>
    <xf numFmtId="3" fontId="18" fillId="0" borderId="0" xfId="0" applyNumberFormat="1" applyFont="1" applyFill="1" applyAlignment="1" applyProtection="1">
      <alignment horizontal="center" vertical="center" wrapText="1"/>
      <protection locked="0"/>
    </xf>
    <xf numFmtId="3" fontId="0" fillId="2" borderId="0" xfId="0" applyNumberFormat="1" applyFill="1" applyAlignment="1" applyProtection="1">
      <alignment horizontal="center" vertical="center" wrapText="1"/>
      <protection locked="0"/>
    </xf>
    <xf numFmtId="2" fontId="0" fillId="5" borderId="1" xfId="0" applyNumberFormat="1" applyFill="1" applyBorder="1" applyAlignment="1" applyProtection="1">
      <alignment horizontal="center" wrapText="1"/>
      <protection locked="0"/>
    </xf>
    <xf numFmtId="1" fontId="0" fillId="2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 locked="0"/>
    </xf>
    <xf numFmtId="168" fontId="0" fillId="0" borderId="0" xfId="0" applyNumberFormat="1" applyFont="1" applyAlignment="1" applyProtection="1">
      <alignment horizontal="center" vertical="top" wrapText="1"/>
      <protection locked="0"/>
    </xf>
    <xf numFmtId="168" fontId="0" fillId="0" borderId="0" xfId="0" applyNumberFormat="1" applyAlignment="1" applyProtection="1">
      <alignment horizontal="center" vertical="top" wrapText="1"/>
      <protection locked="0"/>
    </xf>
    <xf numFmtId="168" fontId="0" fillId="2" borderId="0" xfId="0" applyNumberFormat="1" applyFont="1" applyFill="1" applyAlignment="1" applyProtection="1">
      <alignment horizontal="center" vertical="center" wrapText="1"/>
      <protection locked="0"/>
    </xf>
    <xf numFmtId="168" fontId="0" fillId="2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68" fontId="23" fillId="2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44" fontId="3" fillId="3" borderId="0" xfId="3" applyFont="1" applyFill="1" applyAlignment="1" applyProtection="1">
      <alignment vertical="center" wrapText="1"/>
      <protection locked="0"/>
    </xf>
    <xf numFmtId="0" fontId="3" fillId="3" borderId="0" xfId="2" applyNumberFormat="1" applyFont="1" applyFill="1" applyAlignment="1" applyProtection="1">
      <alignment horizontal="center" vertical="center" wrapText="1"/>
      <protection locked="0"/>
    </xf>
    <xf numFmtId="44" fontId="18" fillId="0" borderId="0" xfId="3" applyFont="1" applyAlignment="1" applyProtection="1">
      <alignment horizontal="center" vertical="center" wrapText="1"/>
      <protection locked="0"/>
    </xf>
    <xf numFmtId="44" fontId="3" fillId="0" borderId="0" xfId="3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44" fontId="0" fillId="0" borderId="0" xfId="3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Alignment="1" applyProtection="1">
      <alignment horizontal="center" wrapText="1"/>
      <protection locked="0"/>
    </xf>
    <xf numFmtId="167" fontId="0" fillId="0" borderId="0" xfId="0" applyNumberFormat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2" fontId="0" fillId="0" borderId="0" xfId="0" applyNumberFormat="1" applyAlignment="1" applyProtection="1">
      <alignment horizontal="left"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7" fillId="2" borderId="0" xfId="0" applyFont="1" applyFill="1" applyAlignment="1" applyProtection="1">
      <alignment horizontal="left" wrapText="1"/>
      <protection locked="0"/>
    </xf>
    <xf numFmtId="166" fontId="7" fillId="2" borderId="0" xfId="0" applyNumberFormat="1" applyFont="1" applyFill="1" applyAlignment="1" applyProtection="1">
      <alignment wrapText="1"/>
      <protection locked="0"/>
    </xf>
    <xf numFmtId="166" fontId="0" fillId="0" borderId="0" xfId="0" applyNumberFormat="1" applyAlignment="1" applyProtection="1">
      <alignment wrapText="1"/>
      <protection locked="0"/>
    </xf>
    <xf numFmtId="166" fontId="0" fillId="2" borderId="0" xfId="0" applyNumberFormat="1" applyFill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166" fontId="7" fillId="2" borderId="0" xfId="0" applyNumberFormat="1" applyFont="1" applyFill="1" applyAlignment="1" applyProtection="1">
      <alignment wrapText="1"/>
    </xf>
    <xf numFmtId="166" fontId="0" fillId="0" borderId="0" xfId="0" applyNumberFormat="1" applyAlignment="1" applyProtection="1">
      <alignment wrapText="1"/>
    </xf>
    <xf numFmtId="166" fontId="0" fillId="2" borderId="0" xfId="0" applyNumberFormat="1" applyFill="1" applyAlignment="1" applyProtection="1">
      <alignment wrapText="1"/>
    </xf>
    <xf numFmtId="0" fontId="19" fillId="0" borderId="0" xfId="0" applyFont="1" applyAlignment="1" applyProtection="1">
      <alignment wrapText="1"/>
    </xf>
    <xf numFmtId="44" fontId="3" fillId="0" borderId="0" xfId="3" applyFont="1" applyAlignment="1" applyProtection="1">
      <alignment vertical="center" wrapText="1"/>
    </xf>
    <xf numFmtId="165" fontId="0" fillId="4" borderId="0" xfId="0" applyNumberFormat="1" applyFill="1" applyAlignment="1" applyProtection="1">
      <alignment wrapText="1"/>
    </xf>
    <xf numFmtId="9" fontId="0" fillId="4" borderId="0" xfId="2" applyFont="1" applyFill="1" applyAlignment="1" applyProtection="1">
      <alignment horizontal="center" vertical="center" wrapText="1"/>
    </xf>
    <xf numFmtId="44" fontId="18" fillId="0" borderId="0" xfId="3" applyFont="1" applyAlignment="1" applyProtection="1">
      <alignment horizontal="center" vertical="center" wrapText="1"/>
    </xf>
    <xf numFmtId="10" fontId="3" fillId="5" borderId="0" xfId="2" applyNumberFormat="1" applyFont="1" applyFill="1" applyAlignment="1" applyProtection="1">
      <alignment horizontal="center" vertical="center" wrapText="1"/>
      <protection locked="0"/>
    </xf>
    <xf numFmtId="170" fontId="0" fillId="2" borderId="0" xfId="0" applyNumberFormat="1" applyFont="1" applyFill="1" applyAlignment="1" applyProtection="1">
      <alignment horizontal="center" vertical="center" wrapText="1"/>
      <protection locked="0"/>
    </xf>
    <xf numFmtId="3" fontId="0" fillId="5" borderId="0" xfId="0" applyNumberFormat="1" applyFill="1" applyAlignment="1" applyProtection="1">
      <alignment horizontal="center" wrapText="1"/>
      <protection locked="0"/>
    </xf>
    <xf numFmtId="2" fontId="0" fillId="5" borderId="1" xfId="0" applyNumberFormat="1" applyFill="1" applyBorder="1" applyAlignment="1" applyProtection="1">
      <alignment horizontal="center" wrapText="1"/>
      <protection locked="0"/>
    </xf>
    <xf numFmtId="0" fontId="0" fillId="6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7" fillId="6" borderId="1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24" fillId="7" borderId="1" xfId="0" applyFont="1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" fontId="0" fillId="7" borderId="1" xfId="0" applyNumberFormat="1" applyFill="1" applyBorder="1" applyAlignment="1" applyProtection="1">
      <alignment horizontal="center"/>
      <protection locked="0"/>
    </xf>
    <xf numFmtId="165" fontId="0" fillId="6" borderId="1" xfId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44" fontId="3" fillId="0" borderId="0" xfId="3" applyFont="1" applyFill="1" applyAlignment="1" applyProtection="1">
      <alignment horizontal="center" vertical="center" wrapText="1"/>
      <protection locked="0"/>
    </xf>
    <xf numFmtId="3" fontId="18" fillId="0" borderId="0" xfId="0" applyNumberFormat="1" applyFont="1" applyFill="1" applyAlignment="1" applyProtection="1">
      <alignment horizontal="center" vertical="center" wrapText="1"/>
      <protection locked="0"/>
    </xf>
    <xf numFmtId="3" fontId="0" fillId="2" borderId="0" xfId="0" applyNumberFormat="1" applyFill="1" applyAlignment="1" applyProtection="1">
      <alignment horizontal="center" vertical="center" wrapText="1"/>
      <protection locked="0"/>
    </xf>
    <xf numFmtId="3" fontId="0" fillId="2" borderId="0" xfId="0" applyNumberFormat="1" applyFont="1" applyFill="1" applyAlignment="1" applyProtection="1">
      <alignment horizontal="center" vertical="center" wrapText="1"/>
      <protection locked="0"/>
    </xf>
    <xf numFmtId="168" fontId="0" fillId="0" borderId="0" xfId="0" applyNumberFormat="1" applyFont="1" applyAlignment="1" applyProtection="1">
      <alignment horizontal="center" vertical="top" wrapText="1"/>
      <protection locked="0"/>
    </xf>
    <xf numFmtId="4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3" fontId="23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Fill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2" fontId="0" fillId="5" borderId="1" xfId="0" applyNumberFormat="1" applyFill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49" fontId="10" fillId="0" borderId="0" xfId="1" applyNumberFormat="1" applyFont="1" applyAlignment="1">
      <alignment horizontal="center" wrapText="1"/>
    </xf>
    <xf numFmtId="165" fontId="20" fillId="0" borderId="0" xfId="1" applyFont="1" applyAlignment="1">
      <alignment horizontal="center" wrapText="1"/>
    </xf>
  </cellXfs>
  <cellStyles count="6">
    <cellStyle name="Денежный" xfId="3" builtinId="4"/>
    <cellStyle name="Обычный" xfId="0" builtinId="0"/>
    <cellStyle name="Обычный 2" xfId="4" xr:uid="{00000000-0005-0000-0000-000002000000}"/>
    <cellStyle name="Обычный 2 2" xfId="5" xr:uid="{00000000-0005-0000-0000-000003000000}"/>
    <cellStyle name="Процентный" xfId="2" builtinId="5"/>
    <cellStyle name="Финансовый" xfId="1" builtinId="3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19</xdr:row>
      <xdr:rowOff>228600</xdr:rowOff>
    </xdr:from>
    <xdr:to>
      <xdr:col>2</xdr:col>
      <xdr:colOff>0</xdr:colOff>
      <xdr:row>20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7A369C3-979C-42EB-AADB-BD397BB1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075" y="6057900"/>
          <a:ext cx="644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18</xdr:row>
      <xdr:rowOff>203200</xdr:rowOff>
    </xdr:from>
    <xdr:to>
      <xdr:col>1</xdr:col>
      <xdr:colOff>571500</xdr:colOff>
      <xdr:row>18</xdr:row>
      <xdr:rowOff>431800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473EE33-51BE-4392-82AE-06E797A1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5461000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139700</xdr:colOff>
      <xdr:row>11</xdr:row>
      <xdr:rowOff>187325</xdr:rowOff>
    </xdr:from>
    <xdr:to>
      <xdr:col>1</xdr:col>
      <xdr:colOff>342900</xdr:colOff>
      <xdr:row>11</xdr:row>
      <xdr:rowOff>390525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F6CF181-6D05-49C8-9994-C96036D1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475" y="2873375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7</xdr:row>
      <xdr:rowOff>114300</xdr:rowOff>
    </xdr:from>
    <xdr:to>
      <xdr:col>1</xdr:col>
      <xdr:colOff>609600</xdr:colOff>
      <xdr:row>7</xdr:row>
      <xdr:rowOff>317500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F1BC02B-FDAC-4CBE-8535-7CBDA0BD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81075"/>
          <a:ext cx="381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10</xdr:row>
      <xdr:rowOff>241300</xdr:rowOff>
    </xdr:from>
    <xdr:to>
      <xdr:col>1</xdr:col>
      <xdr:colOff>571500</xdr:colOff>
      <xdr:row>10</xdr:row>
      <xdr:rowOff>469900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D841365-9AE7-4126-A433-46A0E458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2327275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8</xdr:row>
      <xdr:rowOff>215900</xdr:rowOff>
    </xdr:from>
    <xdr:to>
      <xdr:col>1</xdr:col>
      <xdr:colOff>596900</xdr:colOff>
      <xdr:row>8</xdr:row>
      <xdr:rowOff>431800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5E699FB-6EC5-4ADB-A6DB-23F36025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520825"/>
          <a:ext cx="393700" cy="16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9</xdr:row>
      <xdr:rowOff>139700</xdr:rowOff>
    </xdr:from>
    <xdr:to>
      <xdr:col>1</xdr:col>
      <xdr:colOff>584200</xdr:colOff>
      <xdr:row>9</xdr:row>
      <xdr:rowOff>393700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257F9ED-D908-47A3-8D2F-52AF2ECB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825625"/>
          <a:ext cx="381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72;&#1074;&#1080;&#1075;&#1072;&#1090;&#1086;&#1088;&#1099;\&#1052;&#1045;&#1058;&#1054;&#1044;\&#1057;&#1093;&#1086;&#1076;&#1080;&#1084;&#1086;&#1089;&#1090;&#1100;%20&#1084;&#1086;&#1076;&#1077;&#1083;&#1080;%20&#1055;&#1060;%20&#1087;&#1088;&#1080;%20&#1086;&#1087;&#1088;&#1077;&#1076;&#1077;&#1083;&#1077;&#1085;&#1085;&#1086;&#1084;%20&#1086;&#1073;&#1098;&#1077;&#1084;&#1077;%20&#1092;&#1080;&#1085;&#1072;&#1085;&#1089;&#1080;&#1088;&#1086;&#1074;&#1072;&#1085;&#1080;&#1103;%20(2&#1081;%20&#1075;&#1086;&#10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ормативных затрат"/>
      <sheetName val="Сходимость модели"/>
    </sheetNames>
    <sheetDataSet>
      <sheetData sheetId="0" refreshError="1">
        <row r="2">
          <cell r="J2">
            <v>12000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10" zoomScale="70" zoomScaleNormal="70" workbookViewId="0">
      <selection activeCell="G26" sqref="G26"/>
    </sheetView>
  </sheetViews>
  <sheetFormatPr defaultColWidth="10.875" defaultRowHeight="15.75" x14ac:dyDescent="0.25"/>
  <cols>
    <col min="1" max="1" width="26.375" style="46" customWidth="1"/>
    <col min="2" max="2" width="11.625" style="46" customWidth="1"/>
    <col min="3" max="3" width="13.375" style="46" customWidth="1"/>
    <col min="4" max="4" width="3.5" style="46" customWidth="1"/>
    <col min="5" max="5" width="31.125" style="46" customWidth="1"/>
    <col min="6" max="6" width="12.375" style="46" bestFit="1" customWidth="1"/>
    <col min="7" max="7" width="13.125" style="46" customWidth="1"/>
    <col min="8" max="8" width="11.25" style="46" customWidth="1"/>
    <col min="9" max="9" width="14.875" style="46" customWidth="1"/>
    <col min="10" max="10" width="14.375" style="46" customWidth="1"/>
    <col min="11" max="11" width="15.875" style="46" customWidth="1"/>
    <col min="12" max="14" width="14.625" style="46" customWidth="1"/>
    <col min="15" max="17" width="16.875" style="46" customWidth="1"/>
    <col min="18" max="18" width="28.375" style="46" customWidth="1"/>
    <col min="19" max="19" width="20.375" style="46" customWidth="1"/>
    <col min="20" max="16384" width="10.875" style="46"/>
  </cols>
  <sheetData>
    <row r="1" spans="1:19" ht="16.149999999999999" customHeight="1" x14ac:dyDescent="0.25">
      <c r="I1" s="103"/>
      <c r="J1" s="103"/>
      <c r="K1" s="103"/>
      <c r="L1" s="103"/>
      <c r="M1" s="47"/>
      <c r="N1" s="47"/>
      <c r="O1" s="48"/>
      <c r="P1" s="48"/>
      <c r="Q1" s="48"/>
    </row>
    <row r="2" spans="1:19" ht="140.44999999999999" customHeight="1" x14ac:dyDescent="0.25">
      <c r="A2" s="111" t="s">
        <v>0</v>
      </c>
      <c r="B2" s="111"/>
      <c r="C2" s="108" t="s">
        <v>35</v>
      </c>
      <c r="D2" s="108"/>
      <c r="E2" s="49" t="s">
        <v>41</v>
      </c>
      <c r="F2" s="49" t="s">
        <v>39</v>
      </c>
      <c r="G2" s="50" t="s">
        <v>66</v>
      </c>
      <c r="H2" s="51" t="s">
        <v>44</v>
      </c>
      <c r="I2" s="52" t="s">
        <v>57</v>
      </c>
      <c r="J2" s="53" t="s">
        <v>67</v>
      </c>
      <c r="K2" s="52" t="s">
        <v>58</v>
      </c>
      <c r="L2" s="53" t="s">
        <v>68</v>
      </c>
      <c r="M2" s="54" t="s">
        <v>64</v>
      </c>
      <c r="N2" s="55" t="s">
        <v>69</v>
      </c>
      <c r="O2" s="56" t="s">
        <v>60</v>
      </c>
      <c r="P2" s="56" t="s">
        <v>59</v>
      </c>
      <c r="Q2" s="57" t="s">
        <v>65</v>
      </c>
      <c r="R2" s="58" t="s">
        <v>63</v>
      </c>
      <c r="S2" s="104" t="s">
        <v>56</v>
      </c>
    </row>
    <row r="3" spans="1:19" ht="35.1" customHeight="1" x14ac:dyDescent="0.25">
      <c r="A3" s="112" t="s">
        <v>70</v>
      </c>
      <c r="B3" s="112"/>
      <c r="C3" s="109">
        <v>9596520</v>
      </c>
      <c r="D3" s="109"/>
      <c r="E3" s="37">
        <v>14026</v>
      </c>
      <c r="F3" s="90">
        <v>0.80500000000000005</v>
      </c>
      <c r="G3" s="37">
        <v>11291</v>
      </c>
      <c r="H3" s="89">
        <v>0.1</v>
      </c>
      <c r="I3" s="37">
        <v>1403</v>
      </c>
      <c r="J3" s="85">
        <f>ROUNDUP(MAX(F13:K13)*E4,-1)</f>
        <v>6840</v>
      </c>
      <c r="K3" s="59"/>
      <c r="L3" s="85">
        <f>ROUNDUP(MAX(F13:K13)*G22*E5,-1)</f>
        <v>0</v>
      </c>
      <c r="M3" s="60"/>
      <c r="N3" s="85">
        <f>ROUNDUP(MAX(F13:K13)*G26*E6,-1)</f>
        <v>0</v>
      </c>
      <c r="O3" s="85">
        <f>J3*I3</f>
        <v>9596520</v>
      </c>
      <c r="P3" s="85">
        <f>K3*L3</f>
        <v>0</v>
      </c>
      <c r="Q3" s="85">
        <f>M3*N3</f>
        <v>0</v>
      </c>
      <c r="R3" s="86">
        <f>(O3+P3+Q3)-('Стандартные программы'!L142+'Дистанционные программы'!L39+'Очно-заочные программы'!L39+'Адаптированные программы'!L39)</f>
        <v>873053.28</v>
      </c>
      <c r="S3" s="104"/>
    </row>
    <row r="4" spans="1:19" ht="50.45" customHeight="1" x14ac:dyDescent="0.25">
      <c r="A4" s="31"/>
      <c r="B4" s="106" t="s">
        <v>54</v>
      </c>
      <c r="C4" s="107"/>
      <c r="D4" s="107"/>
      <c r="E4" s="61">
        <v>87</v>
      </c>
      <c r="F4" s="105" t="str">
        <f>IF(G3&lt;F3*E3,"Охват недостаточен"," ")</f>
        <v xml:space="preserve"> </v>
      </c>
      <c r="G4" s="105"/>
      <c r="H4" s="105" t="str">
        <f>IF((I3+K3+M3)&lt;H3*E3,"Охват недостаточен"," ")</f>
        <v xml:space="preserve"> </v>
      </c>
      <c r="I4" s="105"/>
      <c r="J4" s="116" t="s">
        <v>37</v>
      </c>
      <c r="K4" s="116"/>
      <c r="L4" s="117"/>
      <c r="M4" s="117"/>
      <c r="N4" s="117"/>
      <c r="O4" s="88" t="str">
        <f>IF(C3&lt;(O3+P3+Q3),(O3+P3+Q3)-C3,"не требуется")</f>
        <v>не требуется</v>
      </c>
      <c r="P4" s="62"/>
      <c r="Q4" s="62"/>
      <c r="R4" s="87">
        <f>R3/(O3+P3+Q3)</f>
        <v>0.09</v>
      </c>
      <c r="S4" s="63"/>
    </row>
    <row r="5" spans="1:19" ht="51.75" customHeight="1" x14ac:dyDescent="0.25">
      <c r="A5" s="31"/>
      <c r="B5" s="106" t="s">
        <v>55</v>
      </c>
      <c r="C5" s="107"/>
      <c r="D5" s="107"/>
      <c r="E5" s="61"/>
      <c r="F5" s="42"/>
      <c r="G5" s="42"/>
      <c r="H5" s="42"/>
      <c r="I5" s="42"/>
      <c r="J5" s="64"/>
      <c r="K5" s="64"/>
      <c r="L5" s="64"/>
      <c r="M5" s="64"/>
      <c r="N5" s="64"/>
      <c r="O5" s="62"/>
      <c r="P5" s="62"/>
      <c r="Q5" s="62"/>
      <c r="R5" s="65"/>
      <c r="S5" s="63"/>
    </row>
    <row r="6" spans="1:19" ht="51.75" customHeight="1" x14ac:dyDescent="0.25">
      <c r="A6" s="31"/>
      <c r="B6" s="114" t="s">
        <v>61</v>
      </c>
      <c r="C6" s="114"/>
      <c r="D6" s="114"/>
      <c r="E6" s="61"/>
      <c r="F6" s="42"/>
      <c r="G6" s="42"/>
      <c r="H6" s="42"/>
      <c r="I6" s="42"/>
      <c r="J6" s="64"/>
      <c r="K6" s="64"/>
      <c r="L6" s="64"/>
      <c r="M6" s="64"/>
      <c r="N6" s="64"/>
      <c r="O6" s="62"/>
      <c r="P6" s="62"/>
      <c r="Q6" s="62"/>
      <c r="R6" s="65"/>
      <c r="S6" s="63"/>
    </row>
    <row r="7" spans="1:19" ht="33.75" customHeight="1" x14ac:dyDescent="0.25">
      <c r="A7" s="110" t="s">
        <v>25</v>
      </c>
      <c r="B7" s="110"/>
      <c r="C7" s="91">
        <v>34432</v>
      </c>
      <c r="D7" s="1"/>
      <c r="F7" s="113"/>
      <c r="G7" s="113"/>
      <c r="H7" s="113"/>
      <c r="I7" s="113"/>
      <c r="J7" s="113"/>
      <c r="K7" s="113"/>
      <c r="L7" s="66"/>
      <c r="M7" s="66"/>
      <c r="N7" s="66"/>
      <c r="O7" s="67"/>
      <c r="P7" s="67"/>
      <c r="Q7" s="67"/>
      <c r="R7" s="67"/>
      <c r="S7" s="67"/>
    </row>
    <row r="8" spans="1:19" ht="46.15" customHeight="1" x14ac:dyDescent="0.25">
      <c r="A8" s="68" t="s">
        <v>10</v>
      </c>
      <c r="B8" s="10"/>
      <c r="C8" s="38">
        <v>0.1</v>
      </c>
      <c r="D8" s="69"/>
      <c r="E8" s="70" t="s">
        <v>9</v>
      </c>
      <c r="F8" s="21" t="s">
        <v>3</v>
      </c>
      <c r="G8" s="21" t="s">
        <v>4</v>
      </c>
      <c r="H8" s="21" t="s">
        <v>5</v>
      </c>
      <c r="I8" s="21" t="s">
        <v>6</v>
      </c>
      <c r="J8" s="21" t="s">
        <v>7</v>
      </c>
      <c r="K8" s="21" t="s">
        <v>42</v>
      </c>
      <c r="L8" s="21"/>
      <c r="M8" s="21"/>
      <c r="N8" s="21"/>
    </row>
    <row r="9" spans="1:19" ht="30" customHeight="1" x14ac:dyDescent="0.35">
      <c r="A9" s="68" t="s">
        <v>12</v>
      </c>
      <c r="B9" s="10"/>
      <c r="C9" s="39">
        <v>750</v>
      </c>
      <c r="D9" s="69"/>
      <c r="E9" s="68" t="s">
        <v>33</v>
      </c>
      <c r="F9" s="40">
        <v>78</v>
      </c>
      <c r="G9" s="40">
        <v>78</v>
      </c>
      <c r="H9" s="40">
        <v>78</v>
      </c>
      <c r="I9" s="40">
        <v>78</v>
      </c>
      <c r="J9" s="40">
        <v>78</v>
      </c>
      <c r="K9" s="40">
        <v>78</v>
      </c>
      <c r="L9" s="43"/>
      <c r="M9" s="43"/>
      <c r="N9" s="43"/>
      <c r="O9" s="71"/>
      <c r="P9" s="71"/>
      <c r="Q9" s="71"/>
    </row>
    <row r="10" spans="1:19" ht="34.5" x14ac:dyDescent="0.35">
      <c r="A10" s="68" t="s">
        <v>14</v>
      </c>
      <c r="B10" s="10"/>
      <c r="C10" s="39">
        <v>1300</v>
      </c>
      <c r="D10" s="69"/>
      <c r="E10" s="68" t="s">
        <v>34</v>
      </c>
      <c r="F10" s="40">
        <v>110</v>
      </c>
      <c r="G10" s="40">
        <v>110</v>
      </c>
      <c r="H10" s="40">
        <v>110</v>
      </c>
      <c r="I10" s="40">
        <v>110</v>
      </c>
      <c r="J10" s="40">
        <v>110</v>
      </c>
      <c r="K10" s="40">
        <v>110</v>
      </c>
      <c r="L10" s="43"/>
      <c r="M10" s="43"/>
      <c r="N10" s="43"/>
      <c r="O10" s="71"/>
      <c r="P10" s="71"/>
      <c r="Q10" s="71"/>
    </row>
    <row r="11" spans="1:19" ht="47.25" x14ac:dyDescent="0.25">
      <c r="A11" s="68" t="s">
        <v>16</v>
      </c>
      <c r="B11" s="10"/>
      <c r="C11" s="38">
        <v>7.72</v>
      </c>
      <c r="E11" s="72" t="s">
        <v>11</v>
      </c>
      <c r="F11" s="41">
        <v>8</v>
      </c>
      <c r="G11" s="41">
        <v>8</v>
      </c>
      <c r="H11" s="41">
        <v>8</v>
      </c>
      <c r="I11" s="41">
        <v>8</v>
      </c>
      <c r="J11" s="41">
        <v>8</v>
      </c>
      <c r="K11" s="41">
        <v>8</v>
      </c>
      <c r="L11" s="45"/>
      <c r="M11" s="45"/>
      <c r="N11" s="45"/>
      <c r="O11" s="71"/>
      <c r="P11" s="71"/>
      <c r="Q11" s="71"/>
    </row>
    <row r="12" spans="1:19" ht="45" customHeight="1" x14ac:dyDescent="0.25">
      <c r="A12" s="68" t="s">
        <v>18</v>
      </c>
      <c r="B12" s="10"/>
      <c r="C12" s="73"/>
      <c r="E12" s="72" t="s">
        <v>13</v>
      </c>
      <c r="F12" s="41">
        <v>18</v>
      </c>
      <c r="G12" s="41">
        <v>18</v>
      </c>
      <c r="H12" s="41">
        <v>18</v>
      </c>
      <c r="I12" s="41">
        <v>18</v>
      </c>
      <c r="J12" s="41">
        <v>18</v>
      </c>
      <c r="K12" s="41">
        <v>18</v>
      </c>
      <c r="L12" s="45"/>
      <c r="M12" s="45"/>
      <c r="N12" s="45"/>
      <c r="O12" s="71"/>
      <c r="P12" s="71"/>
      <c r="Q12" s="71"/>
    </row>
    <row r="13" spans="1:19" ht="31.9" customHeight="1" x14ac:dyDescent="0.25">
      <c r="A13" s="74" t="s">
        <v>3</v>
      </c>
      <c r="B13" s="68"/>
      <c r="C13" s="39">
        <v>50000</v>
      </c>
      <c r="E13" s="75" t="s">
        <v>15</v>
      </c>
      <c r="F13" s="81">
        <f>SUM(F14:F18)</f>
        <v>77.97</v>
      </c>
      <c r="G13" s="81">
        <f t="shared" ref="G13:K13" si="0">SUM(G14:G18)</f>
        <v>77.97</v>
      </c>
      <c r="H13" s="81">
        <f t="shared" si="0"/>
        <v>77.97</v>
      </c>
      <c r="I13" s="81">
        <f t="shared" si="0"/>
        <v>77.97</v>
      </c>
      <c r="J13" s="81">
        <f t="shared" si="0"/>
        <v>77.97</v>
      </c>
      <c r="K13" s="81">
        <f t="shared" si="0"/>
        <v>78.58</v>
      </c>
      <c r="L13" s="76"/>
      <c r="M13" s="76"/>
      <c r="N13" s="76"/>
      <c r="O13" s="71"/>
      <c r="P13" s="71"/>
      <c r="Q13" s="71"/>
    </row>
    <row r="14" spans="1:19" ht="31.5" customHeight="1" x14ac:dyDescent="0.25">
      <c r="A14" s="74" t="s">
        <v>4</v>
      </c>
      <c r="B14" s="68"/>
      <c r="C14" s="39">
        <v>50000</v>
      </c>
      <c r="E14" s="68" t="s">
        <v>17</v>
      </c>
      <c r="F14" s="82">
        <f t="shared" ref="F14:K14" si="1">$C$7*12*1.302/F9/F10</f>
        <v>62.7</v>
      </c>
      <c r="G14" s="82">
        <f t="shared" si="1"/>
        <v>62.7</v>
      </c>
      <c r="H14" s="82">
        <f t="shared" si="1"/>
        <v>62.7</v>
      </c>
      <c r="I14" s="82">
        <f t="shared" si="1"/>
        <v>62.7</v>
      </c>
      <c r="J14" s="82">
        <f t="shared" si="1"/>
        <v>62.7</v>
      </c>
      <c r="K14" s="82">
        <f t="shared" si="1"/>
        <v>62.7</v>
      </c>
      <c r="L14" s="77"/>
      <c r="M14" s="77"/>
      <c r="N14" s="77"/>
      <c r="O14" s="71"/>
      <c r="P14" s="71"/>
      <c r="Q14" s="71"/>
    </row>
    <row r="15" spans="1:19" ht="30.75" customHeight="1" x14ac:dyDescent="0.25">
      <c r="A15" s="74" t="s">
        <v>5</v>
      </c>
      <c r="B15" s="68"/>
      <c r="C15" s="39">
        <v>50000</v>
      </c>
      <c r="E15" s="68" t="s">
        <v>19</v>
      </c>
      <c r="F15" s="82">
        <f t="shared" ref="F15:K15" si="2">F14*$C$8</f>
        <v>6.27</v>
      </c>
      <c r="G15" s="82">
        <f t="shared" si="2"/>
        <v>6.27</v>
      </c>
      <c r="H15" s="82">
        <f t="shared" si="2"/>
        <v>6.27</v>
      </c>
      <c r="I15" s="82">
        <f t="shared" si="2"/>
        <v>6.27</v>
      </c>
      <c r="J15" s="82">
        <f t="shared" si="2"/>
        <v>6.27</v>
      </c>
      <c r="K15" s="82">
        <f t="shared" si="2"/>
        <v>6.27</v>
      </c>
      <c r="L15" s="77"/>
      <c r="M15" s="77"/>
      <c r="N15" s="77"/>
      <c r="O15" s="71"/>
      <c r="P15" s="71"/>
      <c r="Q15" s="71"/>
    </row>
    <row r="16" spans="1:19" ht="31.5" customHeight="1" x14ac:dyDescent="0.25">
      <c r="A16" s="74" t="s">
        <v>6</v>
      </c>
      <c r="B16" s="68"/>
      <c r="C16" s="39">
        <v>50000</v>
      </c>
      <c r="E16" s="68" t="s">
        <v>20</v>
      </c>
      <c r="F16" s="83">
        <f>($C$9*14)/3/F9/F10+$C$10/F9/F10</f>
        <v>0.56000000000000005</v>
      </c>
      <c r="G16" s="83">
        <f t="shared" ref="G16:K16" si="3">($C$9*14)/3/G9/G10+$C$10/G9/G10</f>
        <v>0.56000000000000005</v>
      </c>
      <c r="H16" s="83">
        <f t="shared" si="3"/>
        <v>0.56000000000000005</v>
      </c>
      <c r="I16" s="83">
        <f t="shared" si="3"/>
        <v>0.56000000000000005</v>
      </c>
      <c r="J16" s="83">
        <f t="shared" si="3"/>
        <v>0.56000000000000005</v>
      </c>
      <c r="K16" s="83">
        <f t="shared" si="3"/>
        <v>0.56000000000000005</v>
      </c>
      <c r="L16" s="78"/>
      <c r="M16" s="78"/>
      <c r="N16" s="78"/>
      <c r="O16" s="71"/>
      <c r="P16" s="71"/>
      <c r="Q16" s="71"/>
    </row>
    <row r="17" spans="1:14" ht="31.5" customHeight="1" x14ac:dyDescent="0.25">
      <c r="A17" s="74" t="s">
        <v>7</v>
      </c>
      <c r="B17" s="68"/>
      <c r="C17" s="39">
        <v>50000</v>
      </c>
      <c r="E17" s="68" t="s">
        <v>21</v>
      </c>
      <c r="F17" s="82">
        <f t="shared" ref="F17:K17" si="4">((VLOOKUP(F8,$A$13:$C$18,3,FALSE))/7/$C$19/(AVERAGE(F11,F12)))+(($C$20*0.5)/5/$C$19)</f>
        <v>0.72</v>
      </c>
      <c r="G17" s="82">
        <f t="shared" si="4"/>
        <v>0.72</v>
      </c>
      <c r="H17" s="82">
        <f t="shared" si="4"/>
        <v>0.72</v>
      </c>
      <c r="I17" s="82">
        <f t="shared" si="4"/>
        <v>0.72</v>
      </c>
      <c r="J17" s="82">
        <f t="shared" si="4"/>
        <v>0.72</v>
      </c>
      <c r="K17" s="82">
        <f t="shared" si="4"/>
        <v>1.33</v>
      </c>
      <c r="L17" s="77"/>
      <c r="M17" s="77"/>
      <c r="N17" s="77"/>
    </row>
    <row r="18" spans="1:14" ht="31.5" x14ac:dyDescent="0.25">
      <c r="A18" s="21" t="s">
        <v>42</v>
      </c>
      <c r="C18" s="39">
        <v>100000</v>
      </c>
      <c r="E18" s="68" t="s">
        <v>22</v>
      </c>
      <c r="F18" s="82">
        <f t="shared" ref="F18:K18" si="5">$C$11</f>
        <v>7.72</v>
      </c>
      <c r="G18" s="82">
        <f t="shared" si="5"/>
        <v>7.72</v>
      </c>
      <c r="H18" s="82">
        <f t="shared" si="5"/>
        <v>7.72</v>
      </c>
      <c r="I18" s="82">
        <f t="shared" si="5"/>
        <v>7.72</v>
      </c>
      <c r="J18" s="82">
        <f t="shared" si="5"/>
        <v>7.72</v>
      </c>
      <c r="K18" s="82">
        <f t="shared" si="5"/>
        <v>7.72</v>
      </c>
      <c r="L18" s="77"/>
      <c r="M18" s="77"/>
      <c r="N18" s="77"/>
    </row>
    <row r="19" spans="1:14" ht="47.25" x14ac:dyDescent="0.25">
      <c r="A19" s="46" t="s">
        <v>23</v>
      </c>
      <c r="B19" s="10"/>
      <c r="C19" s="39">
        <v>900</v>
      </c>
      <c r="E19" s="79" t="s">
        <v>40</v>
      </c>
      <c r="F19" s="84">
        <f>F9/(F11+F12)*2*(F10/36)</f>
        <v>18.3333333333333</v>
      </c>
      <c r="G19" s="84">
        <f t="shared" ref="G19:K19" si="6">G9/(G11+G12)*2*(G10/36)</f>
        <v>18.3333333333333</v>
      </c>
      <c r="H19" s="84">
        <f t="shared" si="6"/>
        <v>18.3333333333333</v>
      </c>
      <c r="I19" s="84">
        <f t="shared" si="6"/>
        <v>18.3333333333333</v>
      </c>
      <c r="J19" s="84">
        <f t="shared" si="6"/>
        <v>18.3333333333333</v>
      </c>
      <c r="K19" s="84">
        <f t="shared" si="6"/>
        <v>18.3333333333333</v>
      </c>
      <c r="L19" s="79"/>
      <c r="M19" s="79"/>
      <c r="N19" s="79"/>
    </row>
    <row r="20" spans="1:14" x14ac:dyDescent="0.25">
      <c r="A20" s="46" t="s">
        <v>24</v>
      </c>
      <c r="B20" s="10"/>
      <c r="C20" s="38">
        <v>1000</v>
      </c>
      <c r="H20" s="77"/>
      <c r="I20" s="77"/>
      <c r="J20" s="77"/>
      <c r="K20" s="77"/>
      <c r="L20" s="77"/>
      <c r="M20" s="77"/>
      <c r="N20" s="77"/>
    </row>
    <row r="21" spans="1:14" ht="21" customHeight="1" x14ac:dyDescent="0.35">
      <c r="E21" s="119" t="s">
        <v>49</v>
      </c>
      <c r="F21" s="119"/>
      <c r="G21" s="119"/>
      <c r="H21" s="119"/>
      <c r="I21" s="119"/>
      <c r="J21" s="119"/>
      <c r="K21" s="119"/>
      <c r="L21" s="80"/>
      <c r="M21" s="80"/>
      <c r="N21" s="80"/>
    </row>
    <row r="22" spans="1:14" ht="29.25" customHeight="1" x14ac:dyDescent="0.25">
      <c r="E22" s="118" t="s">
        <v>50</v>
      </c>
      <c r="F22" s="118"/>
      <c r="G22" s="120">
        <v>1</v>
      </c>
    </row>
    <row r="23" spans="1:14" ht="29.25" customHeight="1" x14ac:dyDescent="0.25">
      <c r="E23" s="118"/>
      <c r="F23" s="118"/>
      <c r="G23" s="120"/>
      <c r="H23" s="73"/>
      <c r="I23" s="73"/>
    </row>
    <row r="24" spans="1:14" ht="29.25" customHeight="1" x14ac:dyDescent="0.25">
      <c r="E24" s="118" t="s">
        <v>51</v>
      </c>
      <c r="F24" s="118"/>
      <c r="G24" s="44">
        <v>1</v>
      </c>
    </row>
    <row r="25" spans="1:14" ht="29.25" customHeight="1" x14ac:dyDescent="0.25">
      <c r="E25" s="118" t="s">
        <v>52</v>
      </c>
      <c r="F25" s="118"/>
      <c r="G25" s="44">
        <v>1</v>
      </c>
    </row>
    <row r="26" spans="1:14" x14ac:dyDescent="0.25">
      <c r="E26" s="115" t="s">
        <v>62</v>
      </c>
      <c r="F26" s="115"/>
      <c r="G26" s="92">
        <v>1</v>
      </c>
    </row>
  </sheetData>
  <mergeCells count="21">
    <mergeCell ref="E26:F26"/>
    <mergeCell ref="J4:N4"/>
    <mergeCell ref="E24:F24"/>
    <mergeCell ref="E25:F25"/>
    <mergeCell ref="E21:K21"/>
    <mergeCell ref="E22:F23"/>
    <mergeCell ref="G22:G23"/>
    <mergeCell ref="A7:B7"/>
    <mergeCell ref="A2:B2"/>
    <mergeCell ref="A3:B3"/>
    <mergeCell ref="F7:K7"/>
    <mergeCell ref="B5:D5"/>
    <mergeCell ref="B6:D6"/>
    <mergeCell ref="I1:J1"/>
    <mergeCell ref="K1:L1"/>
    <mergeCell ref="S2:S3"/>
    <mergeCell ref="H4:I4"/>
    <mergeCell ref="B4:D4"/>
    <mergeCell ref="C2:D2"/>
    <mergeCell ref="C3:D3"/>
    <mergeCell ref="F4:G4"/>
  </mergeCells>
  <pageMargins left="0.19" right="0.19" top="0.23" bottom="0.32" header="0.25" footer="0.31496062992125984"/>
  <pageSetup paperSize="9" scale="5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C6655E60-450E-43FA-9E7B-FB7C510DD65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A5</xm:sqref>
        </x14:conditionalFormatting>
        <x14:conditionalFormatting xmlns:xm="http://schemas.microsoft.com/office/excel/2006/main">
          <x14:cfRule type="iconSet" priority="6" id="{99B02640-7508-491D-8F19-328C8981611E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C2</xm:sqref>
        </x14:conditionalFormatting>
        <x14:conditionalFormatting xmlns:xm="http://schemas.microsoft.com/office/excel/2006/main">
          <x14:cfRule type="iconSet" priority="5" id="{7604D76A-B52B-412A-B449-B46F65451A58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4" id="{A320CDA7-3384-40C5-BC53-0D20F2A4A606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J2</xm:sqref>
        </x14:conditionalFormatting>
        <x14:conditionalFormatting xmlns:xm="http://schemas.microsoft.com/office/excel/2006/main">
          <x14:cfRule type="iconSet" priority="3" id="{629F1DC0-465A-45F4-A7A0-28566B018EAB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H2</xm:sqref>
        </x14:conditionalFormatting>
        <x14:conditionalFormatting xmlns:xm="http://schemas.microsoft.com/office/excel/2006/main">
          <x14:cfRule type="iconSet" priority="1" id="{4FE44E6D-EB1C-4C1C-B168-A902BF7B8AF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F2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44"/>
  <sheetViews>
    <sheetView zoomScale="90" zoomScaleNormal="90" workbookViewId="0">
      <selection activeCell="F153" sqref="F153"/>
    </sheetView>
  </sheetViews>
  <sheetFormatPr defaultColWidth="11" defaultRowHeight="15.75" x14ac:dyDescent="0.25"/>
  <cols>
    <col min="1" max="1" width="23.875" style="10" customWidth="1"/>
    <col min="2" max="2" width="34.5" style="10" customWidth="1"/>
    <col min="3" max="3" width="24.125" style="10" customWidth="1"/>
    <col min="4" max="4" width="11.5" style="10" customWidth="1"/>
    <col min="5" max="5" width="15" style="10" customWidth="1"/>
    <col min="6" max="6" width="12.125" style="11" customWidth="1"/>
    <col min="7" max="7" width="11.5" style="11" customWidth="1"/>
    <col min="8" max="8" width="12.5" style="12" customWidth="1"/>
    <col min="9" max="9" width="10.625" style="9" customWidth="1"/>
    <col min="10" max="10" width="11.125" style="9" customWidth="1"/>
    <col min="11" max="11" width="15.625" customWidth="1"/>
    <col min="12" max="12" width="13.875" style="9" customWidth="1"/>
    <col min="13" max="13" width="16.125" style="9" customWidth="1"/>
    <col min="14" max="14" width="19.125" style="29" customWidth="1"/>
    <col min="15" max="15" width="16.25" customWidth="1"/>
    <col min="16" max="16" width="1.875" style="25" hidden="1" customWidth="1"/>
  </cols>
  <sheetData>
    <row r="1" spans="1:16" s="2" customFormat="1" ht="83.25" customHeight="1" x14ac:dyDescent="0.25">
      <c r="A1" s="13" t="s">
        <v>26</v>
      </c>
      <c r="B1" s="13" t="s">
        <v>27</v>
      </c>
      <c r="C1" s="13" t="s">
        <v>9</v>
      </c>
      <c r="D1" s="14" t="s">
        <v>8</v>
      </c>
      <c r="E1" s="14" t="s">
        <v>45</v>
      </c>
      <c r="F1" s="14" t="s">
        <v>31</v>
      </c>
      <c r="G1" s="14" t="s">
        <v>28</v>
      </c>
      <c r="H1" s="15" t="s">
        <v>32</v>
      </c>
      <c r="I1" s="16" t="s">
        <v>29</v>
      </c>
      <c r="J1" s="16" t="s">
        <v>46</v>
      </c>
      <c r="K1" s="30" t="s">
        <v>47</v>
      </c>
      <c r="L1" s="16" t="s">
        <v>36</v>
      </c>
      <c r="M1" s="16" t="s">
        <v>43</v>
      </c>
      <c r="N1" s="26" t="s">
        <v>48</v>
      </c>
      <c r="P1" s="24"/>
    </row>
    <row r="2" spans="1:16" x14ac:dyDescent="0.25">
      <c r="A2" s="93" t="s">
        <v>71</v>
      </c>
      <c r="B2" s="95" t="s">
        <v>73</v>
      </c>
      <c r="C2" s="93" t="s">
        <v>5</v>
      </c>
      <c r="D2" s="98">
        <v>36</v>
      </c>
      <c r="E2" s="98">
        <v>20</v>
      </c>
      <c r="F2" s="100">
        <v>2</v>
      </c>
      <c r="G2" s="100">
        <v>20</v>
      </c>
      <c r="H2" s="102">
        <v>75.63</v>
      </c>
      <c r="I2" s="4">
        <f>HLOOKUP($C2,'Параметры ПФ'!$F$8:$K$13,6,FALSE)</f>
        <v>77.97</v>
      </c>
      <c r="J2" s="4">
        <f>IF(H2=0,I2*F2*E2,IF(I2&gt;H2,H2*F2*E2,I2*F2*E2))</f>
        <v>3025.2</v>
      </c>
      <c r="K2" s="5">
        <f>IF(J2&lt;'Параметры ПФ'!J$3+0.01,'Стандартные программы'!J2,ROUNDDOWN('Параметры ПФ'!J$3/IF(H2=0,I2,IF(I2&gt;H2,H2,I2)),0)*IF(H2=0,I2,IF(I2&gt;H2,H2,I2)))</f>
        <v>3025.2</v>
      </c>
      <c r="L2" s="4">
        <f t="shared" ref="L2:L141" si="0">K2*G2</f>
        <v>60504</v>
      </c>
      <c r="M2" s="32">
        <f>IF(J2&lt;'Параметры ПФ'!J$3+0.01,E2*F2*G2,ROUNDDOWN('Параметры ПФ'!J$3/IF(H2=0,I2,IF(I2&gt;H2,H2,I2)),0)*G2)</f>
        <v>800</v>
      </c>
      <c r="N2" s="27">
        <f>IF(H2=0,I2*F2*E2,IF(I2&gt;H2,H2*F2*E2,I2*F2*E2))-K2</f>
        <v>0</v>
      </c>
      <c r="P2" s="25">
        <f>IF(N2=0,0,IF(N2&gt;'[1]Расчет нормативных затрат'!J$2/2,0,IF(N2&lt;'[1]Расчет нормативных затрат'!J$2/3,2,1)))</f>
        <v>0</v>
      </c>
    </row>
    <row r="3" spans="1:16" x14ac:dyDescent="0.25">
      <c r="A3" s="93" t="s">
        <v>71</v>
      </c>
      <c r="B3" s="95" t="s">
        <v>73</v>
      </c>
      <c r="C3" s="93" t="s">
        <v>5</v>
      </c>
      <c r="D3" s="98">
        <v>36</v>
      </c>
      <c r="E3" s="98">
        <v>16</v>
      </c>
      <c r="F3" s="100">
        <v>2</v>
      </c>
      <c r="G3" s="100">
        <v>20</v>
      </c>
      <c r="H3" s="102">
        <v>75.63</v>
      </c>
      <c r="I3" s="4">
        <f>HLOOKUP($C3,'Параметры ПФ'!$F$8:$K$13,6,FALSE)</f>
        <v>77.97</v>
      </c>
      <c r="J3" s="4">
        <f t="shared" ref="J3:J141" si="1">IF(H3=0,I3*F3*E3,IF(I3&gt;H3,H3*F3*E3,I3*F3*E3))</f>
        <v>2420.16</v>
      </c>
      <c r="K3" s="5">
        <f>IF(J3&lt;'Параметры ПФ'!J$3+0.01,'Стандартные программы'!J3,ROUNDDOWN('Параметры ПФ'!J$3/IF(H3=0,I3,IF(I3&gt;H3,H3,I3)),0)*IF(H3=0,I3,IF(I3&gt;H3,H3,I3)))</f>
        <v>2420.16</v>
      </c>
      <c r="L3" s="4">
        <f t="shared" si="0"/>
        <v>48403.199999999997</v>
      </c>
      <c r="M3" s="32">
        <f>IF(J3&lt;'Параметры ПФ'!J$3+0.01,E3*F3*G3,ROUNDDOWN('Параметры ПФ'!J$3/IF(H3=0,I3,IF(I3&gt;H3,H3,I3)),0)*G3)</f>
        <v>640</v>
      </c>
      <c r="N3" s="27">
        <f t="shared" ref="N3:N141" si="2">IF(H3=0,I3*F3*E3,IF(I3&gt;H3,H3*F3*E3,I3*F3*E3))-K3</f>
        <v>0</v>
      </c>
      <c r="P3" s="25">
        <f>IF(N3=0,0,IF(N3&gt;'[1]Расчет нормативных затрат'!J$2/2,0,IF(N3&lt;'[1]Расчет нормативных затрат'!J$2/3,2,1)))</f>
        <v>0</v>
      </c>
    </row>
    <row r="4" spans="1:16" x14ac:dyDescent="0.25">
      <c r="A4" s="93" t="s">
        <v>71</v>
      </c>
      <c r="B4" s="95" t="s">
        <v>74</v>
      </c>
      <c r="C4" s="93" t="s">
        <v>5</v>
      </c>
      <c r="D4" s="98">
        <v>36</v>
      </c>
      <c r="E4" s="98">
        <v>20</v>
      </c>
      <c r="F4" s="100">
        <v>2</v>
      </c>
      <c r="G4" s="100">
        <v>20</v>
      </c>
      <c r="H4" s="102">
        <v>75.63</v>
      </c>
      <c r="I4" s="4">
        <f>HLOOKUP($C4,'Параметры ПФ'!$F$8:$K$13,6,FALSE)</f>
        <v>77.97</v>
      </c>
      <c r="J4" s="4">
        <f t="shared" si="1"/>
        <v>3025.2</v>
      </c>
      <c r="K4" s="5">
        <f>IF(J4&lt;'Параметры ПФ'!J$3+0.01,'Стандартные программы'!J4,ROUNDDOWN('Параметры ПФ'!J$3/IF(H4=0,I4,IF(I4&gt;H4,H4,I4)),0)*IF(H4=0,I4,IF(I4&gt;H4,H4,I4)))</f>
        <v>3025.2</v>
      </c>
      <c r="L4" s="4">
        <f t="shared" si="0"/>
        <v>60504</v>
      </c>
      <c r="M4" s="32">
        <f>IF(J4&lt;'Параметры ПФ'!J$3+0.01,E4*F4*G4,ROUNDDOWN('Параметры ПФ'!J$3/IF(H4=0,I4,IF(I4&gt;H4,H4,I4)),0)*G4)</f>
        <v>800</v>
      </c>
      <c r="N4" s="27">
        <f t="shared" si="2"/>
        <v>0</v>
      </c>
      <c r="P4" s="25">
        <f>IF(N4=0,0,IF(N4&gt;'[1]Расчет нормативных затрат'!J$2/2,0,IF(N4&lt;'[1]Расчет нормативных затрат'!J$2/3,2,1)))</f>
        <v>0</v>
      </c>
    </row>
    <row r="5" spans="1:16" x14ac:dyDescent="0.25">
      <c r="A5" s="93" t="s">
        <v>71</v>
      </c>
      <c r="B5" s="95" t="s">
        <v>74</v>
      </c>
      <c r="C5" s="93" t="s">
        <v>5</v>
      </c>
      <c r="D5" s="98">
        <v>36</v>
      </c>
      <c r="E5" s="98">
        <v>16</v>
      </c>
      <c r="F5" s="100">
        <v>2</v>
      </c>
      <c r="G5" s="100">
        <v>20</v>
      </c>
      <c r="H5" s="102">
        <v>75.63</v>
      </c>
      <c r="I5" s="4">
        <f>HLOOKUP($C5,'Параметры ПФ'!$F$8:$K$13,6,FALSE)</f>
        <v>77.97</v>
      </c>
      <c r="J5" s="4">
        <f t="shared" si="1"/>
        <v>2420.16</v>
      </c>
      <c r="K5" s="5">
        <f>IF(J5&lt;'Параметры ПФ'!J$3+0.01,'Стандартные программы'!J5,ROUNDDOWN('Параметры ПФ'!J$3/IF(H5=0,I5,IF(I5&gt;H5,H5,I5)),0)*IF(H5=0,I5,IF(I5&gt;H5,H5,I5)))</f>
        <v>2420.16</v>
      </c>
      <c r="L5" s="4">
        <f t="shared" si="0"/>
        <v>48403.199999999997</v>
      </c>
      <c r="M5" s="32">
        <f>IF(J5&lt;'Параметры ПФ'!J$3+0.01,E5*F5*G5,ROUNDDOWN('Параметры ПФ'!J$3/IF(H5=0,I5,IF(I5&gt;H5,H5,I5)),0)*G5)</f>
        <v>640</v>
      </c>
      <c r="N5" s="27">
        <f t="shared" si="2"/>
        <v>0</v>
      </c>
      <c r="P5" s="25">
        <f>IF(N5=0,0,IF(N5&gt;'[1]Расчет нормативных затрат'!J$2/2,0,IF(N5&lt;'[1]Расчет нормативных затрат'!J$2/3,2,1)))</f>
        <v>0</v>
      </c>
    </row>
    <row r="6" spans="1:16" x14ac:dyDescent="0.25">
      <c r="A6" s="93" t="s">
        <v>71</v>
      </c>
      <c r="B6" s="95" t="s">
        <v>75</v>
      </c>
      <c r="C6" s="93" t="s">
        <v>5</v>
      </c>
      <c r="D6" s="98">
        <v>36</v>
      </c>
      <c r="E6" s="98">
        <v>20</v>
      </c>
      <c r="F6" s="100">
        <v>2</v>
      </c>
      <c r="G6" s="100">
        <v>15</v>
      </c>
      <c r="H6" s="102">
        <v>75.63</v>
      </c>
      <c r="I6" s="4">
        <f>HLOOKUP($C6,'Параметры ПФ'!$F$8:$K$13,6,FALSE)</f>
        <v>77.97</v>
      </c>
      <c r="J6" s="4">
        <f t="shared" si="1"/>
        <v>3025.2</v>
      </c>
      <c r="K6" s="5">
        <f>IF(J6&lt;'Параметры ПФ'!J$3+0.01,'Стандартные программы'!J6,ROUNDDOWN('Параметры ПФ'!J$3/IF(H6=0,I6,IF(I6&gt;H6,H6,I6)),0)*IF(H6=0,I6,IF(I6&gt;H6,H6,I6)))</f>
        <v>3025.2</v>
      </c>
      <c r="L6" s="4">
        <f t="shared" si="0"/>
        <v>45378</v>
      </c>
      <c r="M6" s="32">
        <f>IF(J6&lt;'Параметры ПФ'!J$3+0.01,E6*F6*G6,ROUNDDOWN('Параметры ПФ'!J$3/IF(H6=0,I6,IF(I6&gt;H6,H6,I6)),0)*G6)</f>
        <v>600</v>
      </c>
      <c r="N6" s="27">
        <f t="shared" si="2"/>
        <v>0</v>
      </c>
      <c r="P6" s="25">
        <f>IF(N6=0,0,IF(N6&gt;'[1]Расчет нормативных затрат'!J$2/2,0,IF(N6&lt;'[1]Расчет нормативных затрат'!J$2/3,2,1)))</f>
        <v>0</v>
      </c>
    </row>
    <row r="7" spans="1:16" x14ac:dyDescent="0.25">
      <c r="A7" s="93" t="s">
        <v>71</v>
      </c>
      <c r="B7" s="95" t="s">
        <v>76</v>
      </c>
      <c r="C7" s="93" t="s">
        <v>5</v>
      </c>
      <c r="D7" s="98">
        <v>36</v>
      </c>
      <c r="E7" s="98">
        <v>16</v>
      </c>
      <c r="F7" s="100">
        <v>2</v>
      </c>
      <c r="G7" s="100">
        <v>15</v>
      </c>
      <c r="H7" s="102">
        <v>75.63</v>
      </c>
      <c r="I7" s="4">
        <f>HLOOKUP($C7,'Параметры ПФ'!$F$8:$K$13,6,FALSE)</f>
        <v>77.97</v>
      </c>
      <c r="J7" s="4">
        <f t="shared" si="1"/>
        <v>2420.16</v>
      </c>
      <c r="K7" s="5">
        <f>IF(J7&lt;'Параметры ПФ'!J$3+0.01,'Стандартные программы'!J7,ROUNDDOWN('Параметры ПФ'!J$3/IF(H7=0,I7,IF(I7&gt;H7,H7,I7)),0)*IF(H7=0,I7,IF(I7&gt;H7,H7,I7)))</f>
        <v>2420.16</v>
      </c>
      <c r="L7" s="4">
        <f t="shared" si="0"/>
        <v>36302.400000000001</v>
      </c>
      <c r="M7" s="32">
        <f>IF(J7&lt;'Параметры ПФ'!J$3+0.01,E7*F7*G7,ROUNDDOWN('Параметры ПФ'!J$3/IF(H7=0,I7,IF(I7&gt;H7,H7,I7)),0)*G7)</f>
        <v>480</v>
      </c>
      <c r="N7" s="27">
        <f t="shared" si="2"/>
        <v>0</v>
      </c>
      <c r="P7" s="25">
        <f>IF(N7=0,0,IF(N7&gt;'[1]Расчет нормативных затрат'!J$2/2,0,IF(N7&lt;'[1]Расчет нормативных затрат'!J$2/3,2,1)))</f>
        <v>0</v>
      </c>
    </row>
    <row r="8" spans="1:16" x14ac:dyDescent="0.25">
      <c r="A8" s="93" t="s">
        <v>71</v>
      </c>
      <c r="B8" s="95" t="s">
        <v>77</v>
      </c>
      <c r="C8" s="93" t="s">
        <v>5</v>
      </c>
      <c r="D8" s="98">
        <v>36</v>
      </c>
      <c r="E8" s="98">
        <v>20</v>
      </c>
      <c r="F8" s="100">
        <v>2</v>
      </c>
      <c r="G8" s="100">
        <v>15</v>
      </c>
      <c r="H8" s="102">
        <v>75.63</v>
      </c>
      <c r="I8" s="4">
        <f>HLOOKUP($C8,'Параметры ПФ'!$F$8:$K$13,6,FALSE)</f>
        <v>77.97</v>
      </c>
      <c r="J8" s="4">
        <f t="shared" si="1"/>
        <v>3025.2</v>
      </c>
      <c r="K8" s="5">
        <f>IF(J8&lt;'Параметры ПФ'!J$3+0.01,'Стандартные программы'!J8,ROUNDDOWN('Параметры ПФ'!J$3/IF(H8=0,I8,IF(I8&gt;H8,H8,I8)),0)*IF(H8=0,I8,IF(I8&gt;H8,H8,I8)))</f>
        <v>3025.2</v>
      </c>
      <c r="L8" s="4">
        <f t="shared" si="0"/>
        <v>45378</v>
      </c>
      <c r="M8" s="32">
        <f>IF(J8&lt;'Параметры ПФ'!J$3+0.01,E8*F8*G8,ROUNDDOWN('Параметры ПФ'!J$3/IF(H8=0,I8,IF(I8&gt;H8,H8,I8)),0)*G8)</f>
        <v>600</v>
      </c>
      <c r="N8" s="27">
        <f t="shared" si="2"/>
        <v>0</v>
      </c>
      <c r="P8" s="25">
        <f>IF(N8=0,0,IF(N8&gt;'[1]Расчет нормативных затрат'!J$2/2,0,IF(N8&lt;'[1]Расчет нормативных затрат'!J$2/3,2,1)))</f>
        <v>0</v>
      </c>
    </row>
    <row r="9" spans="1:16" x14ac:dyDescent="0.25">
      <c r="A9" s="93" t="s">
        <v>71</v>
      </c>
      <c r="B9" s="95" t="s">
        <v>78</v>
      </c>
      <c r="C9" s="93" t="s">
        <v>5</v>
      </c>
      <c r="D9" s="98">
        <v>36</v>
      </c>
      <c r="E9" s="98">
        <v>16</v>
      </c>
      <c r="F9" s="100">
        <v>2</v>
      </c>
      <c r="G9" s="100">
        <v>15</v>
      </c>
      <c r="H9" s="102">
        <v>75.63</v>
      </c>
      <c r="I9" s="4">
        <f>HLOOKUP($C9,'Параметры ПФ'!$F$8:$K$13,6,FALSE)</f>
        <v>77.97</v>
      </c>
      <c r="J9" s="4">
        <f t="shared" si="1"/>
        <v>2420.16</v>
      </c>
      <c r="K9" s="5">
        <f>IF(J9&lt;'Параметры ПФ'!J$3+0.01,'Стандартные программы'!J9,ROUNDDOWN('Параметры ПФ'!J$3/IF(H9=0,I9,IF(I9&gt;H9,H9,I9)),0)*IF(H9=0,I9,IF(I9&gt;H9,H9,I9)))</f>
        <v>2420.16</v>
      </c>
      <c r="L9" s="4">
        <f t="shared" si="0"/>
        <v>36302.400000000001</v>
      </c>
      <c r="M9" s="32">
        <f>IF(J9&lt;'Параметры ПФ'!J$3+0.01,E9*F9*G9,ROUNDDOWN('Параметры ПФ'!J$3/IF(H9=0,I9,IF(I9&gt;H9,H9,I9)),0)*G9)</f>
        <v>480</v>
      </c>
      <c r="N9" s="27">
        <f t="shared" si="2"/>
        <v>0</v>
      </c>
      <c r="P9" s="25">
        <f>IF(N9=0,0,IF(N9&gt;'[1]Расчет нормативных затрат'!J$2/2,0,IF(N9&lt;'[1]Расчет нормативных затрат'!J$2/3,2,1)))</f>
        <v>0</v>
      </c>
    </row>
    <row r="10" spans="1:16" x14ac:dyDescent="0.25">
      <c r="A10" s="93" t="s">
        <v>71</v>
      </c>
      <c r="B10" s="95" t="s">
        <v>79</v>
      </c>
      <c r="C10" s="93" t="s">
        <v>5</v>
      </c>
      <c r="D10" s="98">
        <v>36</v>
      </c>
      <c r="E10" s="98">
        <v>20</v>
      </c>
      <c r="F10" s="100">
        <v>1</v>
      </c>
      <c r="G10" s="100">
        <v>20</v>
      </c>
      <c r="H10" s="102">
        <v>75.63</v>
      </c>
      <c r="I10" s="4">
        <f>HLOOKUP($C10,'Параметры ПФ'!$F$8:$K$13,6,FALSE)</f>
        <v>77.97</v>
      </c>
      <c r="J10" s="4">
        <f t="shared" ref="J10:J137" si="3">IF(H10=0,I10*F10*E10,IF(I10&gt;H10,H10*F10*E10,I10*F10*E10))</f>
        <v>1512.6</v>
      </c>
      <c r="K10" s="5">
        <f>IF(J10&lt;'Параметры ПФ'!J$3+0.01,'Стандартные программы'!J10,ROUNDDOWN('Параметры ПФ'!J$3/IF(H10=0,I10,IF(I10&gt;H10,H10,I10)),0)*IF(H10=0,I10,IF(I10&gt;H10,H10,I10)))</f>
        <v>1512.6</v>
      </c>
      <c r="L10" s="4">
        <f t="shared" ref="L10:L137" si="4">K10*G10</f>
        <v>30252</v>
      </c>
      <c r="M10" s="32">
        <f>IF(J10&lt;'Параметры ПФ'!J$3+0.01,E10*F10*G10,ROUNDDOWN('Параметры ПФ'!J$3/IF(H10=0,I10,IF(I10&gt;H10,H10,I10)),0)*G10)</f>
        <v>400</v>
      </c>
      <c r="N10" s="27">
        <f t="shared" ref="N10:N137" si="5">IF(H10=0,I10*F10*E10,IF(I10&gt;H10,H10*F10*E10,I10*F10*E10))-K10</f>
        <v>0</v>
      </c>
      <c r="P10" s="25">
        <f>IF(N10=0,0,IF(N10&gt;'[1]Расчет нормативных затрат'!J$2/2,0,IF(N10&lt;'[1]Расчет нормативных затрат'!J$2/3,2,1)))</f>
        <v>0</v>
      </c>
    </row>
    <row r="11" spans="1:16" x14ac:dyDescent="0.25">
      <c r="A11" s="93" t="s">
        <v>71</v>
      </c>
      <c r="B11" s="95" t="s">
        <v>79</v>
      </c>
      <c r="C11" s="93" t="s">
        <v>5</v>
      </c>
      <c r="D11" s="98">
        <v>36</v>
      </c>
      <c r="E11" s="98">
        <v>16</v>
      </c>
      <c r="F11" s="100">
        <v>1</v>
      </c>
      <c r="G11" s="100">
        <v>20</v>
      </c>
      <c r="H11" s="102">
        <v>75.63</v>
      </c>
      <c r="I11" s="4">
        <f>HLOOKUP($C11,'Параметры ПФ'!$F$8:$K$13,6,FALSE)</f>
        <v>77.97</v>
      </c>
      <c r="J11" s="4">
        <f t="shared" si="3"/>
        <v>1210.08</v>
      </c>
      <c r="K11" s="5">
        <f>IF(J11&lt;'Параметры ПФ'!J$3+0.01,'Стандартные программы'!J11,ROUNDDOWN('Параметры ПФ'!J$3/IF(H11=0,I11,IF(I11&gt;H11,H11,I11)),0)*IF(H11=0,I11,IF(I11&gt;H11,H11,I11)))</f>
        <v>1210.08</v>
      </c>
      <c r="L11" s="4">
        <f t="shared" si="4"/>
        <v>24201.599999999999</v>
      </c>
      <c r="M11" s="32">
        <f>IF(J11&lt;'Параметры ПФ'!J$3+0.01,E11*F11*G11,ROUNDDOWN('Параметры ПФ'!J$3/IF(H11=0,I11,IF(I11&gt;H11,H11,I11)),0)*G11)</f>
        <v>320</v>
      </c>
      <c r="N11" s="27">
        <f t="shared" si="5"/>
        <v>0</v>
      </c>
      <c r="P11" s="25">
        <f>IF(N11=0,0,IF(N11&gt;'[1]Расчет нормативных затрат'!J$2/2,0,IF(N11&lt;'[1]Расчет нормативных затрат'!J$2/3,2,1)))</f>
        <v>0</v>
      </c>
    </row>
    <row r="12" spans="1:16" x14ac:dyDescent="0.25">
      <c r="A12" s="93" t="s">
        <v>71</v>
      </c>
      <c r="B12" s="95" t="s">
        <v>80</v>
      </c>
      <c r="C12" s="93" t="s">
        <v>5</v>
      </c>
      <c r="D12" s="98">
        <v>36</v>
      </c>
      <c r="E12" s="98">
        <v>20</v>
      </c>
      <c r="F12" s="100">
        <v>1</v>
      </c>
      <c r="G12" s="100">
        <v>20</v>
      </c>
      <c r="H12" s="102">
        <v>75.63</v>
      </c>
      <c r="I12" s="4">
        <f>HLOOKUP($C12,'Параметры ПФ'!$F$8:$K$13,6,FALSE)</f>
        <v>77.97</v>
      </c>
      <c r="J12" s="4">
        <f t="shared" si="3"/>
        <v>1512.6</v>
      </c>
      <c r="K12" s="5">
        <f>IF(J12&lt;'Параметры ПФ'!J$3+0.01,'Стандартные программы'!J12,ROUNDDOWN('Параметры ПФ'!J$3/IF(H12=0,I12,IF(I12&gt;H12,H12,I12)),0)*IF(H12=0,I12,IF(I12&gt;H12,H12,I12)))</f>
        <v>1512.6</v>
      </c>
      <c r="L12" s="4">
        <f t="shared" si="4"/>
        <v>30252</v>
      </c>
      <c r="M12" s="32">
        <f>IF(J12&lt;'Параметры ПФ'!J$3+0.01,E12*F12*G12,ROUNDDOWN('Параметры ПФ'!J$3/IF(H12=0,I12,IF(I12&gt;H12,H12,I12)),0)*G12)</f>
        <v>400</v>
      </c>
      <c r="N12" s="27">
        <f t="shared" si="5"/>
        <v>0</v>
      </c>
      <c r="P12" s="25">
        <f>IF(N12=0,0,IF(N12&gt;'[1]Расчет нормативных затрат'!J$2/2,0,IF(N12&lt;'[1]Расчет нормативных затрат'!J$2/3,2,1)))</f>
        <v>0</v>
      </c>
    </row>
    <row r="13" spans="1:16" x14ac:dyDescent="0.25">
      <c r="A13" s="93" t="s">
        <v>71</v>
      </c>
      <c r="B13" s="95" t="s">
        <v>80</v>
      </c>
      <c r="C13" s="93" t="s">
        <v>5</v>
      </c>
      <c r="D13" s="98">
        <v>36</v>
      </c>
      <c r="E13" s="98">
        <v>16</v>
      </c>
      <c r="F13" s="100">
        <v>1</v>
      </c>
      <c r="G13" s="100">
        <v>20</v>
      </c>
      <c r="H13" s="102">
        <v>75.63</v>
      </c>
      <c r="I13" s="4">
        <f>HLOOKUP($C13,'Параметры ПФ'!$F$8:$K$13,6,FALSE)</f>
        <v>77.97</v>
      </c>
      <c r="J13" s="4">
        <f t="shared" si="3"/>
        <v>1210.08</v>
      </c>
      <c r="K13" s="5">
        <f>IF(J13&lt;'Параметры ПФ'!J$3+0.01,'Стандартные программы'!J13,ROUNDDOWN('Параметры ПФ'!J$3/IF(H13=0,I13,IF(I13&gt;H13,H13,I13)),0)*IF(H13=0,I13,IF(I13&gt;H13,H13,I13)))</f>
        <v>1210.08</v>
      </c>
      <c r="L13" s="4">
        <f t="shared" si="4"/>
        <v>24201.599999999999</v>
      </c>
      <c r="M13" s="32">
        <f>IF(J13&lt;'Параметры ПФ'!J$3+0.01,E13*F13*G13,ROUNDDOWN('Параметры ПФ'!J$3/IF(H13=0,I13,IF(I13&gt;H13,H13,I13)),0)*G13)</f>
        <v>320</v>
      </c>
      <c r="N13" s="27">
        <f t="shared" si="5"/>
        <v>0</v>
      </c>
      <c r="P13" s="25">
        <f>IF(N13=0,0,IF(N13&gt;'[1]Расчет нормативных затрат'!J$2/2,0,IF(N13&lt;'[1]Расчет нормативных затрат'!J$2/3,2,1)))</f>
        <v>0</v>
      </c>
    </row>
    <row r="14" spans="1:16" x14ac:dyDescent="0.25">
      <c r="A14" s="93" t="s">
        <v>71</v>
      </c>
      <c r="B14" s="95" t="s">
        <v>81</v>
      </c>
      <c r="C14" s="93" t="s">
        <v>5</v>
      </c>
      <c r="D14" s="98">
        <v>36</v>
      </c>
      <c r="E14" s="98">
        <v>20</v>
      </c>
      <c r="F14" s="100">
        <v>2</v>
      </c>
      <c r="G14" s="100">
        <v>20</v>
      </c>
      <c r="H14" s="102">
        <v>75.63</v>
      </c>
      <c r="I14" s="4">
        <f>HLOOKUP($C14,'Параметры ПФ'!$F$8:$K$13,6,FALSE)</f>
        <v>77.97</v>
      </c>
      <c r="J14" s="4">
        <f t="shared" si="3"/>
        <v>3025.2</v>
      </c>
      <c r="K14" s="5">
        <f>IF(J14&lt;'Параметры ПФ'!J$3+0.01,'Стандартные программы'!J14,ROUNDDOWN('Параметры ПФ'!J$3/IF(H14=0,I14,IF(I14&gt;H14,H14,I14)),0)*IF(H14=0,I14,IF(I14&gt;H14,H14,I14)))</f>
        <v>3025.2</v>
      </c>
      <c r="L14" s="4">
        <f t="shared" si="4"/>
        <v>60504</v>
      </c>
      <c r="M14" s="32">
        <f>IF(J14&lt;'Параметры ПФ'!J$3+0.01,E14*F14*G14,ROUNDDOWN('Параметры ПФ'!J$3/IF(H14=0,I14,IF(I14&gt;H14,H14,I14)),0)*G14)</f>
        <v>800</v>
      </c>
      <c r="N14" s="27">
        <f t="shared" si="5"/>
        <v>0</v>
      </c>
      <c r="P14" s="25">
        <f>IF(N14=0,0,IF(N14&gt;'[1]Расчет нормативных затрат'!J$2/2,0,IF(N14&lt;'[1]Расчет нормативных затрат'!J$2/3,2,1)))</f>
        <v>0</v>
      </c>
    </row>
    <row r="15" spans="1:16" x14ac:dyDescent="0.25">
      <c r="A15" s="93" t="s">
        <v>71</v>
      </c>
      <c r="B15" s="95" t="s">
        <v>81</v>
      </c>
      <c r="C15" s="93" t="s">
        <v>5</v>
      </c>
      <c r="D15" s="98">
        <v>36</v>
      </c>
      <c r="E15" s="98">
        <v>16</v>
      </c>
      <c r="F15" s="100">
        <v>2</v>
      </c>
      <c r="G15" s="100">
        <v>20</v>
      </c>
      <c r="H15" s="102">
        <v>75.63</v>
      </c>
      <c r="I15" s="4">
        <f>HLOOKUP($C15,'Параметры ПФ'!$F$8:$K$13,6,FALSE)</f>
        <v>77.97</v>
      </c>
      <c r="J15" s="4">
        <f t="shared" si="3"/>
        <v>2420.16</v>
      </c>
      <c r="K15" s="5">
        <f>IF(J15&lt;'Параметры ПФ'!J$3+0.01,'Стандартные программы'!J15,ROUNDDOWN('Параметры ПФ'!J$3/IF(H15=0,I15,IF(I15&gt;H15,H15,I15)),0)*IF(H15=0,I15,IF(I15&gt;H15,H15,I15)))</f>
        <v>2420.16</v>
      </c>
      <c r="L15" s="4">
        <f t="shared" si="4"/>
        <v>48403.199999999997</v>
      </c>
      <c r="M15" s="32">
        <f>IF(J15&lt;'Параметры ПФ'!J$3+0.01,E15*F15*G15,ROUNDDOWN('Параметры ПФ'!J$3/IF(H15=0,I15,IF(I15&gt;H15,H15,I15)),0)*G15)</f>
        <v>640</v>
      </c>
      <c r="N15" s="27">
        <f t="shared" si="5"/>
        <v>0</v>
      </c>
      <c r="P15" s="25">
        <f>IF(N15=0,0,IF(N15&gt;'[1]Расчет нормативных затрат'!J$2/2,0,IF(N15&lt;'[1]Расчет нормативных затрат'!J$2/3,2,1)))</f>
        <v>0</v>
      </c>
    </row>
    <row r="16" spans="1:16" x14ac:dyDescent="0.25">
      <c r="A16" s="93" t="s">
        <v>71</v>
      </c>
      <c r="B16" s="95" t="s">
        <v>82</v>
      </c>
      <c r="C16" s="93" t="s">
        <v>5</v>
      </c>
      <c r="D16" s="98">
        <v>36</v>
      </c>
      <c r="E16" s="98">
        <v>20</v>
      </c>
      <c r="F16" s="100">
        <v>4</v>
      </c>
      <c r="G16" s="100">
        <v>20</v>
      </c>
      <c r="H16" s="102">
        <v>75.63</v>
      </c>
      <c r="I16" s="4">
        <f>HLOOKUP($C16,'Параметры ПФ'!$F$8:$K$13,6,FALSE)</f>
        <v>77.97</v>
      </c>
      <c r="J16" s="4">
        <f t="shared" si="3"/>
        <v>6050.4</v>
      </c>
      <c r="K16" s="5">
        <f>IF(J16&lt;'Параметры ПФ'!J$3+0.01,'Стандартные программы'!J16,ROUNDDOWN('Параметры ПФ'!J$3/IF(H16=0,I16,IF(I16&gt;H16,H16,I16)),0)*IF(H16=0,I16,IF(I16&gt;H16,H16,I16)))</f>
        <v>6050.4</v>
      </c>
      <c r="L16" s="4">
        <f t="shared" si="4"/>
        <v>121008</v>
      </c>
      <c r="M16" s="32">
        <f>IF(J16&lt;'Параметры ПФ'!J$3+0.01,E16*F16*G16,ROUNDDOWN('Параметры ПФ'!J$3/IF(H16=0,I16,IF(I16&gt;H16,H16,I16)),0)*G16)</f>
        <v>1600</v>
      </c>
      <c r="N16" s="27">
        <f t="shared" si="5"/>
        <v>0</v>
      </c>
      <c r="P16" s="25">
        <f>IF(N16=0,0,IF(N16&gt;'[1]Расчет нормативных затрат'!J$2/2,0,IF(N16&lt;'[1]Расчет нормативных затрат'!J$2/3,2,1)))</f>
        <v>0</v>
      </c>
    </row>
    <row r="17" spans="1:16" x14ac:dyDescent="0.25">
      <c r="A17" s="93" t="s">
        <v>71</v>
      </c>
      <c r="B17" s="95" t="s">
        <v>82</v>
      </c>
      <c r="C17" s="93" t="s">
        <v>5</v>
      </c>
      <c r="D17" s="98">
        <v>36</v>
      </c>
      <c r="E17" s="98">
        <v>16</v>
      </c>
      <c r="F17" s="100">
        <v>4</v>
      </c>
      <c r="G17" s="100">
        <v>20</v>
      </c>
      <c r="H17" s="102">
        <v>75.63</v>
      </c>
      <c r="I17" s="4">
        <f>HLOOKUP($C17,'Параметры ПФ'!$F$8:$K$13,6,FALSE)</f>
        <v>77.97</v>
      </c>
      <c r="J17" s="4">
        <f t="shared" si="3"/>
        <v>4840.32</v>
      </c>
      <c r="K17" s="5">
        <f>IF(J17&lt;'Параметры ПФ'!J$3+0.01,'Стандартные программы'!J17,ROUNDDOWN('Параметры ПФ'!J$3/IF(H17=0,I17,IF(I17&gt;H17,H17,I17)),0)*IF(H17=0,I17,IF(I17&gt;H17,H17,I17)))</f>
        <v>4840.32</v>
      </c>
      <c r="L17" s="4">
        <f t="shared" si="4"/>
        <v>96806.399999999994</v>
      </c>
      <c r="M17" s="32">
        <f>IF(J17&lt;'Параметры ПФ'!J$3+0.01,E17*F17*G17,ROUNDDOWN('Параметры ПФ'!J$3/IF(H17=0,I17,IF(I17&gt;H17,H17,I17)),0)*G17)</f>
        <v>1280</v>
      </c>
      <c r="N17" s="27">
        <f t="shared" si="5"/>
        <v>0</v>
      </c>
      <c r="P17" s="25">
        <f>IF(N17=0,0,IF(N17&gt;'[1]Расчет нормативных затрат'!J$2/2,0,IF(N17&lt;'[1]Расчет нормативных затрат'!J$2/3,2,1)))</f>
        <v>0</v>
      </c>
    </row>
    <row r="18" spans="1:16" x14ac:dyDescent="0.25">
      <c r="A18" s="93" t="s">
        <v>71</v>
      </c>
      <c r="B18" s="95" t="s">
        <v>83</v>
      </c>
      <c r="C18" s="93" t="s">
        <v>5</v>
      </c>
      <c r="D18" s="98">
        <v>36</v>
      </c>
      <c r="E18" s="98">
        <v>20</v>
      </c>
      <c r="F18" s="100">
        <v>2</v>
      </c>
      <c r="G18" s="100">
        <v>20</v>
      </c>
      <c r="H18" s="102">
        <v>75.63</v>
      </c>
      <c r="I18" s="4">
        <f>HLOOKUP($C18,'Параметры ПФ'!$F$8:$K$13,6,FALSE)</f>
        <v>77.97</v>
      </c>
      <c r="J18" s="4">
        <f t="shared" si="3"/>
        <v>3025.2</v>
      </c>
      <c r="K18" s="5">
        <f>IF(J18&lt;'Параметры ПФ'!J$3+0.01,'Стандартные программы'!J18,ROUNDDOWN('Параметры ПФ'!J$3/IF(H18=0,I18,IF(I18&gt;H18,H18,I18)),0)*IF(H18=0,I18,IF(I18&gt;H18,H18,I18)))</f>
        <v>3025.2</v>
      </c>
      <c r="L18" s="4">
        <f t="shared" si="4"/>
        <v>60504</v>
      </c>
      <c r="M18" s="32">
        <f>IF(J18&lt;'Параметры ПФ'!J$3+0.01,E18*F18*G18,ROUNDDOWN('Параметры ПФ'!J$3/IF(H18=0,I18,IF(I18&gt;H18,H18,I18)),0)*G18)</f>
        <v>800</v>
      </c>
      <c r="N18" s="27">
        <f t="shared" si="5"/>
        <v>0</v>
      </c>
      <c r="P18" s="25">
        <f>IF(N18=0,0,IF(N18&gt;'[1]Расчет нормативных затрат'!J$2/2,0,IF(N18&lt;'[1]Расчет нормативных затрат'!J$2/3,2,1)))</f>
        <v>0</v>
      </c>
    </row>
    <row r="19" spans="1:16" x14ac:dyDescent="0.25">
      <c r="A19" s="93" t="s">
        <v>71</v>
      </c>
      <c r="B19" s="95" t="s">
        <v>83</v>
      </c>
      <c r="C19" s="93" t="s">
        <v>5</v>
      </c>
      <c r="D19" s="98">
        <v>36</v>
      </c>
      <c r="E19" s="98">
        <v>16</v>
      </c>
      <c r="F19" s="100">
        <v>2</v>
      </c>
      <c r="G19" s="100">
        <v>20</v>
      </c>
      <c r="H19" s="102">
        <v>75.63</v>
      </c>
      <c r="I19" s="4">
        <f>HLOOKUP($C19,'Параметры ПФ'!$F$8:$K$13,6,FALSE)</f>
        <v>77.97</v>
      </c>
      <c r="J19" s="4">
        <f t="shared" si="3"/>
        <v>2420.16</v>
      </c>
      <c r="K19" s="5">
        <f>IF(J19&lt;'Параметры ПФ'!J$3+0.01,'Стандартные программы'!J19,ROUNDDOWN('Параметры ПФ'!J$3/IF(H19=0,I19,IF(I19&gt;H19,H19,I19)),0)*IF(H19=0,I19,IF(I19&gt;H19,H19,I19)))</f>
        <v>2420.16</v>
      </c>
      <c r="L19" s="4">
        <f t="shared" si="4"/>
        <v>48403.199999999997</v>
      </c>
      <c r="M19" s="32">
        <f>IF(J19&lt;'Параметры ПФ'!J$3+0.01,E19*F19*G19,ROUNDDOWN('Параметры ПФ'!J$3/IF(H19=0,I19,IF(I19&gt;H19,H19,I19)),0)*G19)</f>
        <v>640</v>
      </c>
      <c r="N19" s="27">
        <f t="shared" si="5"/>
        <v>0</v>
      </c>
      <c r="P19" s="25">
        <f>IF(N19=0,0,IF(N19&gt;'[1]Расчет нормативных затрат'!J$2/2,0,IF(N19&lt;'[1]Расчет нормативных затрат'!J$2/3,2,1)))</f>
        <v>0</v>
      </c>
    </row>
    <row r="20" spans="1:16" x14ac:dyDescent="0.25">
      <c r="A20" s="93" t="s">
        <v>71</v>
      </c>
      <c r="B20" s="95" t="s">
        <v>84</v>
      </c>
      <c r="C20" s="93" t="s">
        <v>5</v>
      </c>
      <c r="D20" s="98">
        <v>36</v>
      </c>
      <c r="E20" s="98">
        <v>20</v>
      </c>
      <c r="F20" s="100">
        <v>2</v>
      </c>
      <c r="G20" s="100">
        <v>20</v>
      </c>
      <c r="H20" s="102">
        <v>75.63</v>
      </c>
      <c r="I20" s="4">
        <f>HLOOKUP($C20,'Параметры ПФ'!$F$8:$K$13,6,FALSE)</f>
        <v>77.97</v>
      </c>
      <c r="J20" s="4">
        <f t="shared" si="3"/>
        <v>3025.2</v>
      </c>
      <c r="K20" s="5">
        <f>IF(J20&lt;'Параметры ПФ'!J$3+0.01,'Стандартные программы'!J20,ROUNDDOWN('Параметры ПФ'!J$3/IF(H20=0,I20,IF(I20&gt;H20,H20,I20)),0)*IF(H20=0,I20,IF(I20&gt;H20,H20,I20)))</f>
        <v>3025.2</v>
      </c>
      <c r="L20" s="4">
        <f t="shared" si="4"/>
        <v>60504</v>
      </c>
      <c r="M20" s="32">
        <f>IF(J20&lt;'Параметры ПФ'!J$3+0.01,E20*F20*G20,ROUNDDOWN('Параметры ПФ'!J$3/IF(H20=0,I20,IF(I20&gt;H20,H20,I20)),0)*G20)</f>
        <v>800</v>
      </c>
      <c r="N20" s="27">
        <f t="shared" si="5"/>
        <v>0</v>
      </c>
      <c r="P20" s="25">
        <f>IF(N20=0,0,IF(N20&gt;'[1]Расчет нормативных затрат'!J$2/2,0,IF(N20&lt;'[1]Расчет нормативных затрат'!J$2/3,2,1)))</f>
        <v>0</v>
      </c>
    </row>
    <row r="21" spans="1:16" x14ac:dyDescent="0.25">
      <c r="A21" s="93" t="s">
        <v>71</v>
      </c>
      <c r="B21" s="95" t="s">
        <v>84</v>
      </c>
      <c r="C21" s="93" t="s">
        <v>5</v>
      </c>
      <c r="D21" s="98">
        <v>36</v>
      </c>
      <c r="E21" s="98">
        <v>16</v>
      </c>
      <c r="F21" s="100">
        <v>2</v>
      </c>
      <c r="G21" s="100">
        <v>20</v>
      </c>
      <c r="H21" s="102">
        <v>75.63</v>
      </c>
      <c r="I21" s="4">
        <f>HLOOKUP($C21,'Параметры ПФ'!$F$8:$K$13,6,FALSE)</f>
        <v>77.97</v>
      </c>
      <c r="J21" s="4">
        <f t="shared" ref="J21:J87" si="6">IF(H21=0,I21*F21*E21,IF(I21&gt;H21,H21*F21*E21,I21*F21*E21))</f>
        <v>2420.16</v>
      </c>
      <c r="K21" s="5">
        <f>IF(J21&lt;'Параметры ПФ'!J$3+0.01,'Стандартные программы'!J21,ROUNDDOWN('Параметры ПФ'!J$3/IF(H21=0,I21,IF(I21&gt;H21,H21,I21)),0)*IF(H21=0,I21,IF(I21&gt;H21,H21,I21)))</f>
        <v>2420.16</v>
      </c>
      <c r="L21" s="4">
        <f t="shared" ref="L21:L87" si="7">K21*G21</f>
        <v>48403.199999999997</v>
      </c>
      <c r="M21" s="32">
        <f>IF(J21&lt;'Параметры ПФ'!J$3+0.01,E21*F21*G21,ROUNDDOWN('Параметры ПФ'!J$3/IF(H21=0,I21,IF(I21&gt;H21,H21,I21)),0)*G21)</f>
        <v>640</v>
      </c>
      <c r="N21" s="27">
        <f t="shared" ref="N21:N87" si="8">IF(H21=0,I21*F21*E21,IF(I21&gt;H21,H21*F21*E21,I21*F21*E21))-K21</f>
        <v>0</v>
      </c>
      <c r="P21" s="25">
        <f>IF(N21=0,0,IF(N21&gt;'[1]Расчет нормативных затрат'!J$2/2,0,IF(N21&lt;'[1]Расчет нормативных затрат'!J$2/3,2,1)))</f>
        <v>0</v>
      </c>
    </row>
    <row r="22" spans="1:16" x14ac:dyDescent="0.25">
      <c r="A22" s="93" t="s">
        <v>71</v>
      </c>
      <c r="B22" s="95" t="s">
        <v>85</v>
      </c>
      <c r="C22" s="93" t="s">
        <v>5</v>
      </c>
      <c r="D22" s="98">
        <v>36</v>
      </c>
      <c r="E22" s="98">
        <v>20</v>
      </c>
      <c r="F22" s="100">
        <v>2</v>
      </c>
      <c r="G22" s="100">
        <v>20</v>
      </c>
      <c r="H22" s="102">
        <v>75.63</v>
      </c>
      <c r="I22" s="4">
        <f>HLOOKUP($C22,'Параметры ПФ'!$F$8:$K$13,6,FALSE)</f>
        <v>77.97</v>
      </c>
      <c r="J22" s="4">
        <f t="shared" si="6"/>
        <v>3025.2</v>
      </c>
      <c r="K22" s="5">
        <f>IF(J22&lt;'Параметры ПФ'!J$3+0.01,'Стандартные программы'!J22,ROUNDDOWN('Параметры ПФ'!J$3/IF(H22=0,I22,IF(I22&gt;H22,H22,I22)),0)*IF(H22=0,I22,IF(I22&gt;H22,H22,I22)))</f>
        <v>3025.2</v>
      </c>
      <c r="L22" s="4">
        <f t="shared" si="7"/>
        <v>60504</v>
      </c>
      <c r="M22" s="32">
        <f>IF(J22&lt;'Параметры ПФ'!J$3+0.01,E22*F22*G22,ROUNDDOWN('Параметры ПФ'!J$3/IF(H22=0,I22,IF(I22&gt;H22,H22,I22)),0)*G22)</f>
        <v>800</v>
      </c>
      <c r="N22" s="27">
        <f t="shared" si="8"/>
        <v>0</v>
      </c>
      <c r="P22" s="25">
        <f>IF(N22=0,0,IF(N22&gt;'[1]Расчет нормативных затрат'!J$2/2,0,IF(N22&lt;'[1]Расчет нормативных затрат'!J$2/3,2,1)))</f>
        <v>0</v>
      </c>
    </row>
    <row r="23" spans="1:16" x14ac:dyDescent="0.25">
      <c r="A23" s="93" t="s">
        <v>71</v>
      </c>
      <c r="B23" s="95" t="s">
        <v>85</v>
      </c>
      <c r="C23" s="93" t="s">
        <v>5</v>
      </c>
      <c r="D23" s="98">
        <v>36</v>
      </c>
      <c r="E23" s="98">
        <v>16</v>
      </c>
      <c r="F23" s="100">
        <v>2</v>
      </c>
      <c r="G23" s="100">
        <v>20</v>
      </c>
      <c r="H23" s="102">
        <v>75.63</v>
      </c>
      <c r="I23" s="4">
        <f>HLOOKUP($C23,'Параметры ПФ'!$F$8:$K$13,6,FALSE)</f>
        <v>77.97</v>
      </c>
      <c r="J23" s="4">
        <f t="shared" si="6"/>
        <v>2420.16</v>
      </c>
      <c r="K23" s="5">
        <f>IF(J23&lt;'Параметры ПФ'!J$3+0.01,'Стандартные программы'!J23,ROUNDDOWN('Параметры ПФ'!J$3/IF(H23=0,I23,IF(I23&gt;H23,H23,I23)),0)*IF(H23=0,I23,IF(I23&gt;H23,H23,I23)))</f>
        <v>2420.16</v>
      </c>
      <c r="L23" s="4">
        <f t="shared" si="7"/>
        <v>48403.199999999997</v>
      </c>
      <c r="M23" s="32">
        <f>IF(J23&lt;'Параметры ПФ'!J$3+0.01,E23*F23*G23,ROUNDDOWN('Параметры ПФ'!J$3/IF(H23=0,I23,IF(I23&gt;H23,H23,I23)),0)*G23)</f>
        <v>640</v>
      </c>
      <c r="N23" s="27">
        <f t="shared" si="8"/>
        <v>0</v>
      </c>
      <c r="P23" s="25">
        <f>IF(N23=0,0,IF(N23&gt;'[1]Расчет нормативных затрат'!J$2/2,0,IF(N23&lt;'[1]Расчет нормативных затрат'!J$2/3,2,1)))</f>
        <v>0</v>
      </c>
    </row>
    <row r="24" spans="1:16" x14ac:dyDescent="0.25">
      <c r="A24" s="93" t="s">
        <v>71</v>
      </c>
      <c r="B24" s="95" t="s">
        <v>86</v>
      </c>
      <c r="C24" s="93" t="s">
        <v>5</v>
      </c>
      <c r="D24" s="98">
        <v>36</v>
      </c>
      <c r="E24" s="98">
        <v>20</v>
      </c>
      <c r="F24" s="100">
        <v>4</v>
      </c>
      <c r="G24" s="100">
        <v>20</v>
      </c>
      <c r="H24" s="102">
        <v>75.63</v>
      </c>
      <c r="I24" s="4">
        <f>HLOOKUP($C24,'Параметры ПФ'!$F$8:$K$13,6,FALSE)</f>
        <v>77.97</v>
      </c>
      <c r="J24" s="4">
        <f t="shared" si="6"/>
        <v>6050.4</v>
      </c>
      <c r="K24" s="5">
        <f>IF(J24&lt;'Параметры ПФ'!J$3+0.01,'Стандартные программы'!J24,ROUNDDOWN('Параметры ПФ'!J$3/IF(H24=0,I24,IF(I24&gt;H24,H24,I24)),0)*IF(H24=0,I24,IF(I24&gt;H24,H24,I24)))</f>
        <v>6050.4</v>
      </c>
      <c r="L24" s="4">
        <f t="shared" si="7"/>
        <v>121008</v>
      </c>
      <c r="M24" s="32">
        <f>IF(J24&lt;'Параметры ПФ'!J$3+0.01,E24*F24*G24,ROUNDDOWN('Параметры ПФ'!J$3/IF(H24=0,I24,IF(I24&gt;H24,H24,I24)),0)*G24)</f>
        <v>1600</v>
      </c>
      <c r="N24" s="27">
        <f t="shared" si="8"/>
        <v>0</v>
      </c>
      <c r="P24" s="25">
        <f>IF(N24=0,0,IF(N24&gt;'[1]Расчет нормативных затрат'!J$2/2,0,IF(N24&lt;'[1]Расчет нормативных затрат'!J$2/3,2,1)))</f>
        <v>0</v>
      </c>
    </row>
    <row r="25" spans="1:16" x14ac:dyDescent="0.25">
      <c r="A25" s="93" t="s">
        <v>71</v>
      </c>
      <c r="B25" s="95" t="s">
        <v>87</v>
      </c>
      <c r="C25" s="93" t="s">
        <v>5</v>
      </c>
      <c r="D25" s="98">
        <v>36</v>
      </c>
      <c r="E25" s="98">
        <v>16</v>
      </c>
      <c r="F25" s="100">
        <v>4</v>
      </c>
      <c r="G25" s="100">
        <v>20</v>
      </c>
      <c r="H25" s="102">
        <v>75.63</v>
      </c>
      <c r="I25" s="4">
        <f>HLOOKUP($C25,'Параметры ПФ'!$F$8:$K$13,6,FALSE)</f>
        <v>77.97</v>
      </c>
      <c r="J25" s="4">
        <f t="shared" si="6"/>
        <v>4840.32</v>
      </c>
      <c r="K25" s="5">
        <f>IF(J25&lt;'Параметры ПФ'!J$3+0.01,'Стандартные программы'!J25,ROUNDDOWN('Параметры ПФ'!J$3/IF(H25=0,I25,IF(I25&gt;H25,H25,I25)),0)*IF(H25=0,I25,IF(I25&gt;H25,H25,I25)))</f>
        <v>4840.32</v>
      </c>
      <c r="L25" s="4">
        <f t="shared" si="7"/>
        <v>96806.399999999994</v>
      </c>
      <c r="M25" s="32">
        <f>IF(J25&lt;'Параметры ПФ'!J$3+0.01,E25*F25*G25,ROUNDDOWN('Параметры ПФ'!J$3/IF(H25=0,I25,IF(I25&gt;H25,H25,I25)),0)*G25)</f>
        <v>1280</v>
      </c>
      <c r="N25" s="27">
        <f t="shared" si="8"/>
        <v>0</v>
      </c>
      <c r="P25" s="25">
        <f>IF(N25=0,0,IF(N25&gt;'[1]Расчет нормативных затрат'!J$2/2,0,IF(N25&lt;'[1]Расчет нормативных затрат'!J$2/3,2,1)))</f>
        <v>0</v>
      </c>
    </row>
    <row r="26" spans="1:16" x14ac:dyDescent="0.25">
      <c r="A26" s="93" t="s">
        <v>71</v>
      </c>
      <c r="B26" s="95" t="s">
        <v>88</v>
      </c>
      <c r="C26" s="93" t="s">
        <v>5</v>
      </c>
      <c r="D26" s="98">
        <v>36</v>
      </c>
      <c r="E26" s="98">
        <v>20</v>
      </c>
      <c r="F26" s="100">
        <v>2</v>
      </c>
      <c r="G26" s="100">
        <v>20</v>
      </c>
      <c r="H26" s="102">
        <v>75.63</v>
      </c>
      <c r="I26" s="4">
        <f>HLOOKUP($C26,'Параметры ПФ'!$F$8:$K$13,6,FALSE)</f>
        <v>77.97</v>
      </c>
      <c r="J26" s="4">
        <f t="shared" si="6"/>
        <v>3025.2</v>
      </c>
      <c r="K26" s="5">
        <f>IF(J26&lt;'Параметры ПФ'!J$3+0.01,'Стандартные программы'!J26,ROUNDDOWN('Параметры ПФ'!J$3/IF(H26=0,I26,IF(I26&gt;H26,H26,I26)),0)*IF(H26=0,I26,IF(I26&gt;H26,H26,I26)))</f>
        <v>3025.2</v>
      </c>
      <c r="L26" s="4">
        <f t="shared" si="7"/>
        <v>60504</v>
      </c>
      <c r="M26" s="32">
        <f>IF(J26&lt;'Параметры ПФ'!J$3+0.01,E26*F26*G26,ROUNDDOWN('Параметры ПФ'!J$3/IF(H26=0,I26,IF(I26&gt;H26,H26,I26)),0)*G26)</f>
        <v>800</v>
      </c>
      <c r="N26" s="27">
        <f t="shared" si="8"/>
        <v>0</v>
      </c>
      <c r="P26" s="25">
        <f>IF(N26=0,0,IF(N26&gt;'[1]Расчет нормативных затрат'!J$2/2,0,IF(N26&lt;'[1]Расчет нормативных затрат'!J$2/3,2,1)))</f>
        <v>0</v>
      </c>
    </row>
    <row r="27" spans="1:16" x14ac:dyDescent="0.25">
      <c r="A27" s="93" t="s">
        <v>71</v>
      </c>
      <c r="B27" s="95" t="s">
        <v>88</v>
      </c>
      <c r="C27" s="93" t="s">
        <v>5</v>
      </c>
      <c r="D27" s="98">
        <v>36</v>
      </c>
      <c r="E27" s="98">
        <v>16</v>
      </c>
      <c r="F27" s="100">
        <v>2</v>
      </c>
      <c r="G27" s="100">
        <v>20</v>
      </c>
      <c r="H27" s="102">
        <v>75.63</v>
      </c>
      <c r="I27" s="4">
        <f>HLOOKUP($C27,'Параметры ПФ'!$F$8:$K$13,6,FALSE)</f>
        <v>77.97</v>
      </c>
      <c r="J27" s="4">
        <f t="shared" si="6"/>
        <v>2420.16</v>
      </c>
      <c r="K27" s="5">
        <f>IF(J27&lt;'Параметры ПФ'!J$3+0.01,'Стандартные программы'!J27,ROUNDDOWN('Параметры ПФ'!J$3/IF(H27=0,I27,IF(I27&gt;H27,H27,I27)),0)*IF(H27=0,I27,IF(I27&gt;H27,H27,I27)))</f>
        <v>2420.16</v>
      </c>
      <c r="L27" s="4">
        <f t="shared" si="7"/>
        <v>48403.199999999997</v>
      </c>
      <c r="M27" s="32">
        <f>IF(J27&lt;'Параметры ПФ'!J$3+0.01,E27*F27*G27,ROUNDDOWN('Параметры ПФ'!J$3/IF(H27=0,I27,IF(I27&gt;H27,H27,I27)),0)*G27)</f>
        <v>640</v>
      </c>
      <c r="N27" s="27">
        <f t="shared" si="8"/>
        <v>0</v>
      </c>
      <c r="P27" s="25">
        <f>IF(N27=0,0,IF(N27&gt;'[1]Расчет нормативных затрат'!J$2/2,0,IF(N27&lt;'[1]Расчет нормативных затрат'!J$2/3,2,1)))</f>
        <v>0</v>
      </c>
    </row>
    <row r="28" spans="1:16" x14ac:dyDescent="0.25">
      <c r="A28" s="93" t="s">
        <v>71</v>
      </c>
      <c r="B28" s="95" t="s">
        <v>88</v>
      </c>
      <c r="C28" s="93" t="s">
        <v>5</v>
      </c>
      <c r="D28" s="98">
        <v>36</v>
      </c>
      <c r="E28" s="98">
        <v>20</v>
      </c>
      <c r="F28" s="100">
        <v>4</v>
      </c>
      <c r="G28" s="100">
        <v>20</v>
      </c>
      <c r="H28" s="102">
        <v>75.63</v>
      </c>
      <c r="I28" s="4">
        <f>HLOOKUP($C28,'Параметры ПФ'!$F$8:$K$13,6,FALSE)</f>
        <v>77.97</v>
      </c>
      <c r="J28" s="4">
        <f t="shared" si="6"/>
        <v>6050.4</v>
      </c>
      <c r="K28" s="5">
        <f>IF(J28&lt;'Параметры ПФ'!J$3+0.01,'Стандартные программы'!J28,ROUNDDOWN('Параметры ПФ'!J$3/IF(H28=0,I28,IF(I28&gt;H28,H28,I28)),0)*IF(H28=0,I28,IF(I28&gt;H28,H28,I28)))</f>
        <v>6050.4</v>
      </c>
      <c r="L28" s="4">
        <f t="shared" si="7"/>
        <v>121008</v>
      </c>
      <c r="M28" s="32">
        <f>IF(J28&lt;'Параметры ПФ'!J$3+0.01,E28*F28*G28,ROUNDDOWN('Параметры ПФ'!J$3/IF(H28=0,I28,IF(I28&gt;H28,H28,I28)),0)*G28)</f>
        <v>1600</v>
      </c>
      <c r="N28" s="27">
        <f t="shared" si="8"/>
        <v>0</v>
      </c>
      <c r="P28" s="25">
        <f>IF(N28=0,0,IF(N28&gt;'[1]Расчет нормативных затрат'!J$2/2,0,IF(N28&lt;'[1]Расчет нормативных затрат'!J$2/3,2,1)))</f>
        <v>0</v>
      </c>
    </row>
    <row r="29" spans="1:16" x14ac:dyDescent="0.25">
      <c r="A29" s="93" t="s">
        <v>71</v>
      </c>
      <c r="B29" s="95" t="s">
        <v>88</v>
      </c>
      <c r="C29" s="93" t="s">
        <v>5</v>
      </c>
      <c r="D29" s="98">
        <v>36</v>
      </c>
      <c r="E29" s="98">
        <v>16</v>
      </c>
      <c r="F29" s="100">
        <v>4</v>
      </c>
      <c r="G29" s="100">
        <v>20</v>
      </c>
      <c r="H29" s="102">
        <v>75.63</v>
      </c>
      <c r="I29" s="4">
        <f>HLOOKUP($C29,'Параметры ПФ'!$F$8:$K$13,6,FALSE)</f>
        <v>77.97</v>
      </c>
      <c r="J29" s="4">
        <f t="shared" si="6"/>
        <v>4840.32</v>
      </c>
      <c r="K29" s="5">
        <f>IF(J29&lt;'Параметры ПФ'!J$3+0.01,'Стандартные программы'!J29,ROUNDDOWN('Параметры ПФ'!J$3/IF(H29=0,I29,IF(I29&gt;H29,H29,I29)),0)*IF(H29=0,I29,IF(I29&gt;H29,H29,I29)))</f>
        <v>4840.32</v>
      </c>
      <c r="L29" s="4">
        <f t="shared" si="7"/>
        <v>96806.399999999994</v>
      </c>
      <c r="M29" s="32">
        <f>IF(J29&lt;'Параметры ПФ'!J$3+0.01,E29*F29*G29,ROUNDDOWN('Параметры ПФ'!J$3/IF(H29=0,I29,IF(I29&gt;H29,H29,I29)),0)*G29)</f>
        <v>1280</v>
      </c>
      <c r="N29" s="27">
        <f t="shared" si="8"/>
        <v>0</v>
      </c>
      <c r="P29" s="25">
        <f>IF(N29=0,0,IF(N29&gt;'[1]Расчет нормативных затрат'!J$2/2,0,IF(N29&lt;'[1]Расчет нормативных затрат'!J$2/3,2,1)))</f>
        <v>0</v>
      </c>
    </row>
    <row r="30" spans="1:16" x14ac:dyDescent="0.25">
      <c r="A30" s="93" t="s">
        <v>71</v>
      </c>
      <c r="B30" s="95" t="s">
        <v>89</v>
      </c>
      <c r="C30" s="93" t="s">
        <v>5</v>
      </c>
      <c r="D30" s="98">
        <v>36</v>
      </c>
      <c r="E30" s="98">
        <v>20</v>
      </c>
      <c r="F30" s="100">
        <v>2</v>
      </c>
      <c r="G30" s="100">
        <v>20</v>
      </c>
      <c r="H30" s="102">
        <v>75.63</v>
      </c>
      <c r="I30" s="4">
        <f>HLOOKUP($C30,'Параметры ПФ'!$F$8:$K$13,6,FALSE)</f>
        <v>77.97</v>
      </c>
      <c r="J30" s="4">
        <f t="shared" si="6"/>
        <v>3025.2</v>
      </c>
      <c r="K30" s="5">
        <f>IF(J30&lt;'Параметры ПФ'!J$3+0.01,'Стандартные программы'!J30,ROUNDDOWN('Параметры ПФ'!J$3/IF(H30=0,I30,IF(I30&gt;H30,H30,I30)),0)*IF(H30=0,I30,IF(I30&gt;H30,H30,I30)))</f>
        <v>3025.2</v>
      </c>
      <c r="L30" s="4">
        <f t="shared" si="7"/>
        <v>60504</v>
      </c>
      <c r="M30" s="32">
        <f>IF(J30&lt;'Параметры ПФ'!J$3+0.01,E30*F30*G30,ROUNDDOWN('Параметры ПФ'!J$3/IF(H30=0,I30,IF(I30&gt;H30,H30,I30)),0)*G30)</f>
        <v>800</v>
      </c>
      <c r="N30" s="27">
        <f t="shared" si="8"/>
        <v>0</v>
      </c>
      <c r="P30" s="25">
        <f>IF(N30=0,0,IF(N30&gt;'[1]Расчет нормативных затрат'!J$2/2,0,IF(N30&lt;'[1]Расчет нормативных затрат'!J$2/3,2,1)))</f>
        <v>0</v>
      </c>
    </row>
    <row r="31" spans="1:16" x14ac:dyDescent="0.25">
      <c r="A31" s="93" t="s">
        <v>71</v>
      </c>
      <c r="B31" s="95" t="s">
        <v>89</v>
      </c>
      <c r="C31" s="93" t="s">
        <v>5</v>
      </c>
      <c r="D31" s="98">
        <v>36</v>
      </c>
      <c r="E31" s="98">
        <v>16</v>
      </c>
      <c r="F31" s="100">
        <v>2</v>
      </c>
      <c r="G31" s="100">
        <v>20</v>
      </c>
      <c r="H31" s="102">
        <v>75.63</v>
      </c>
      <c r="I31" s="4">
        <f>HLOOKUP($C31,'Параметры ПФ'!$F$8:$K$13,6,FALSE)</f>
        <v>77.97</v>
      </c>
      <c r="J31" s="4">
        <f t="shared" si="6"/>
        <v>2420.16</v>
      </c>
      <c r="K31" s="5">
        <f>IF(J31&lt;'Параметры ПФ'!J$3+0.01,'Стандартные программы'!J31,ROUNDDOWN('Параметры ПФ'!J$3/IF(H31=0,I31,IF(I31&gt;H31,H31,I31)),0)*IF(H31=0,I31,IF(I31&gt;H31,H31,I31)))</f>
        <v>2420.16</v>
      </c>
      <c r="L31" s="4">
        <f t="shared" si="7"/>
        <v>48403.199999999997</v>
      </c>
      <c r="M31" s="32">
        <f>IF(J31&lt;'Параметры ПФ'!J$3+0.01,E31*F31*G31,ROUNDDOWN('Параметры ПФ'!J$3/IF(H31=0,I31,IF(I31&gt;H31,H31,I31)),0)*G31)</f>
        <v>640</v>
      </c>
      <c r="N31" s="27">
        <f t="shared" si="8"/>
        <v>0</v>
      </c>
      <c r="P31" s="25">
        <f>IF(N31=0,0,IF(N31&gt;'[1]Расчет нормативных затрат'!J$2/2,0,IF(N31&lt;'[1]Расчет нормативных затрат'!J$2/3,2,1)))</f>
        <v>0</v>
      </c>
    </row>
    <row r="32" spans="1:16" x14ac:dyDescent="0.25">
      <c r="A32" s="93" t="s">
        <v>71</v>
      </c>
      <c r="B32" s="95" t="s">
        <v>90</v>
      </c>
      <c r="C32" s="93" t="s">
        <v>5</v>
      </c>
      <c r="D32" s="98">
        <v>36</v>
      </c>
      <c r="E32" s="98">
        <v>20</v>
      </c>
      <c r="F32" s="100">
        <v>2</v>
      </c>
      <c r="G32" s="100">
        <v>20</v>
      </c>
      <c r="H32" s="102">
        <v>75.63</v>
      </c>
      <c r="I32" s="4">
        <f>HLOOKUP($C32,'Параметры ПФ'!$F$8:$K$13,6,FALSE)</f>
        <v>77.97</v>
      </c>
      <c r="J32" s="4">
        <f t="shared" si="6"/>
        <v>3025.2</v>
      </c>
      <c r="K32" s="5">
        <f>IF(J32&lt;'Параметры ПФ'!J$3+0.01,'Стандартные программы'!J32,ROUNDDOWN('Параметры ПФ'!J$3/IF(H32=0,I32,IF(I32&gt;H32,H32,I32)),0)*IF(H32=0,I32,IF(I32&gt;H32,H32,I32)))</f>
        <v>3025.2</v>
      </c>
      <c r="L32" s="4">
        <f t="shared" si="7"/>
        <v>60504</v>
      </c>
      <c r="M32" s="32">
        <f>IF(J32&lt;'Параметры ПФ'!J$3+0.01,E32*F32*G32,ROUNDDOWN('Параметры ПФ'!J$3/IF(H32=0,I32,IF(I32&gt;H32,H32,I32)),0)*G32)</f>
        <v>800</v>
      </c>
      <c r="N32" s="27">
        <f t="shared" si="8"/>
        <v>0</v>
      </c>
      <c r="P32" s="25">
        <f>IF(N32=0,0,IF(N32&gt;'[1]Расчет нормативных затрат'!J$2/2,0,IF(N32&lt;'[1]Расчет нормативных затрат'!J$2/3,2,1)))</f>
        <v>0</v>
      </c>
    </row>
    <row r="33" spans="1:16" x14ac:dyDescent="0.25">
      <c r="A33" s="93" t="s">
        <v>71</v>
      </c>
      <c r="B33" s="95" t="s">
        <v>90</v>
      </c>
      <c r="C33" s="93" t="s">
        <v>5</v>
      </c>
      <c r="D33" s="98">
        <v>36</v>
      </c>
      <c r="E33" s="98">
        <v>16</v>
      </c>
      <c r="F33" s="100">
        <v>2</v>
      </c>
      <c r="G33" s="100">
        <v>20</v>
      </c>
      <c r="H33" s="102">
        <v>75.63</v>
      </c>
      <c r="I33" s="4">
        <f>HLOOKUP($C33,'Параметры ПФ'!$F$8:$K$13,6,FALSE)</f>
        <v>77.97</v>
      </c>
      <c r="J33" s="4">
        <f t="shared" si="6"/>
        <v>2420.16</v>
      </c>
      <c r="K33" s="5">
        <f>IF(J33&lt;'Параметры ПФ'!J$3+0.01,'Стандартные программы'!J33,ROUNDDOWN('Параметры ПФ'!J$3/IF(H33=0,I33,IF(I33&gt;H33,H33,I33)),0)*IF(H33=0,I33,IF(I33&gt;H33,H33,I33)))</f>
        <v>2420.16</v>
      </c>
      <c r="L33" s="4">
        <f t="shared" si="7"/>
        <v>48403.199999999997</v>
      </c>
      <c r="M33" s="32">
        <f>IF(J33&lt;'Параметры ПФ'!J$3+0.01,E33*F33*G33,ROUNDDOWN('Параметры ПФ'!J$3/IF(H33=0,I33,IF(I33&gt;H33,H33,I33)),0)*G33)</f>
        <v>640</v>
      </c>
      <c r="N33" s="27">
        <f t="shared" si="8"/>
        <v>0</v>
      </c>
      <c r="P33" s="25">
        <f>IF(N33=0,0,IF(N33&gt;'[1]Расчет нормативных затрат'!J$2/2,0,IF(N33&lt;'[1]Расчет нормативных затрат'!J$2/3,2,1)))</f>
        <v>0</v>
      </c>
    </row>
    <row r="34" spans="1:16" x14ac:dyDescent="0.25">
      <c r="A34" s="93" t="s">
        <v>71</v>
      </c>
      <c r="B34" s="95" t="s">
        <v>91</v>
      </c>
      <c r="C34" s="93" t="s">
        <v>5</v>
      </c>
      <c r="D34" s="98">
        <v>36</v>
      </c>
      <c r="E34" s="98">
        <v>20</v>
      </c>
      <c r="F34" s="100">
        <v>4</v>
      </c>
      <c r="G34" s="100">
        <v>15</v>
      </c>
      <c r="H34" s="102">
        <v>75.63</v>
      </c>
      <c r="I34" s="4">
        <f>HLOOKUP($C34,'Параметры ПФ'!$F$8:$K$13,6,FALSE)</f>
        <v>77.97</v>
      </c>
      <c r="J34" s="4">
        <f t="shared" si="6"/>
        <v>6050.4</v>
      </c>
      <c r="K34" s="5">
        <f>IF(J34&lt;'Параметры ПФ'!J$3+0.01,'Стандартные программы'!J34,ROUNDDOWN('Параметры ПФ'!J$3/IF(H34=0,I34,IF(I34&gt;H34,H34,I34)),0)*IF(H34=0,I34,IF(I34&gt;H34,H34,I34)))</f>
        <v>6050.4</v>
      </c>
      <c r="L34" s="4">
        <f t="shared" si="7"/>
        <v>90756</v>
      </c>
      <c r="M34" s="32">
        <f>IF(J34&lt;'Параметры ПФ'!J$3+0.01,E34*F34*G34,ROUNDDOWN('Параметры ПФ'!J$3/IF(H34=0,I34,IF(I34&gt;H34,H34,I34)),0)*G34)</f>
        <v>1200</v>
      </c>
      <c r="N34" s="27">
        <f t="shared" si="8"/>
        <v>0</v>
      </c>
      <c r="P34" s="25">
        <f>IF(N34=0,0,IF(N34&gt;'[1]Расчет нормативных затрат'!J$2/2,0,IF(N34&lt;'[1]Расчет нормативных затрат'!J$2/3,2,1)))</f>
        <v>0</v>
      </c>
    </row>
    <row r="35" spans="1:16" x14ac:dyDescent="0.25">
      <c r="A35" s="93" t="s">
        <v>71</v>
      </c>
      <c r="B35" s="95" t="s">
        <v>91</v>
      </c>
      <c r="C35" s="93" t="s">
        <v>5</v>
      </c>
      <c r="D35" s="98">
        <v>36</v>
      </c>
      <c r="E35" s="98">
        <v>16</v>
      </c>
      <c r="F35" s="100">
        <v>4</v>
      </c>
      <c r="G35" s="100">
        <v>15</v>
      </c>
      <c r="H35" s="102">
        <v>75.63</v>
      </c>
      <c r="I35" s="4">
        <f>HLOOKUP($C35,'Параметры ПФ'!$F$8:$K$13,6,FALSE)</f>
        <v>77.97</v>
      </c>
      <c r="J35" s="4">
        <f t="shared" si="6"/>
        <v>4840.32</v>
      </c>
      <c r="K35" s="5">
        <f>IF(J35&lt;'Параметры ПФ'!J$3+0.01,'Стандартные программы'!J35,ROUNDDOWN('Параметры ПФ'!J$3/IF(H35=0,I35,IF(I35&gt;H35,H35,I35)),0)*IF(H35=0,I35,IF(I35&gt;H35,H35,I35)))</f>
        <v>4840.32</v>
      </c>
      <c r="L35" s="4">
        <f t="shared" si="7"/>
        <v>72604.800000000003</v>
      </c>
      <c r="M35" s="32">
        <f>IF(J35&lt;'Параметры ПФ'!J$3+0.01,E35*F35*G35,ROUNDDOWN('Параметры ПФ'!J$3/IF(H35=0,I35,IF(I35&gt;H35,H35,I35)),0)*G35)</f>
        <v>960</v>
      </c>
      <c r="N35" s="27">
        <f t="shared" si="8"/>
        <v>0</v>
      </c>
      <c r="P35" s="25">
        <f>IF(N35=0,0,IF(N35&gt;'[1]Расчет нормативных затрат'!J$2/2,0,IF(N35&lt;'[1]Расчет нормативных затрат'!J$2/3,2,1)))</f>
        <v>0</v>
      </c>
    </row>
    <row r="36" spans="1:16" x14ac:dyDescent="0.25">
      <c r="A36" s="93" t="s">
        <v>71</v>
      </c>
      <c r="B36" s="95" t="s">
        <v>89</v>
      </c>
      <c r="C36" s="93" t="s">
        <v>5</v>
      </c>
      <c r="D36" s="98">
        <v>36</v>
      </c>
      <c r="E36" s="98">
        <v>20</v>
      </c>
      <c r="F36" s="100">
        <v>2</v>
      </c>
      <c r="G36" s="100">
        <v>20</v>
      </c>
      <c r="H36" s="102">
        <v>75.63</v>
      </c>
      <c r="I36" s="4">
        <f>HLOOKUP($C36,'Параметры ПФ'!$F$8:$K$13,6,FALSE)</f>
        <v>77.97</v>
      </c>
      <c r="J36" s="4">
        <f t="shared" si="6"/>
        <v>3025.2</v>
      </c>
      <c r="K36" s="5">
        <f>IF(J36&lt;'Параметры ПФ'!J$3+0.01,'Стандартные программы'!J36,ROUNDDOWN('Параметры ПФ'!J$3/IF(H36=0,I36,IF(I36&gt;H36,H36,I36)),0)*IF(H36=0,I36,IF(I36&gt;H36,H36,I36)))</f>
        <v>3025.2</v>
      </c>
      <c r="L36" s="4">
        <f t="shared" si="7"/>
        <v>60504</v>
      </c>
      <c r="M36" s="32">
        <f>IF(J36&lt;'Параметры ПФ'!J$3+0.01,E36*F36*G36,ROUNDDOWN('Параметры ПФ'!J$3/IF(H36=0,I36,IF(I36&gt;H36,H36,I36)),0)*G36)</f>
        <v>800</v>
      </c>
      <c r="N36" s="27">
        <f t="shared" si="8"/>
        <v>0</v>
      </c>
      <c r="P36" s="25">
        <f>IF(N36=0,0,IF(N36&gt;'[1]Расчет нормативных затрат'!J$2/2,0,IF(N36&lt;'[1]Расчет нормативных затрат'!J$2/3,2,1)))</f>
        <v>0</v>
      </c>
    </row>
    <row r="37" spans="1:16" x14ac:dyDescent="0.25">
      <c r="A37" s="93" t="s">
        <v>71</v>
      </c>
      <c r="B37" s="95" t="s">
        <v>89</v>
      </c>
      <c r="C37" s="93" t="s">
        <v>5</v>
      </c>
      <c r="D37" s="98">
        <v>36</v>
      </c>
      <c r="E37" s="98">
        <v>16</v>
      </c>
      <c r="F37" s="100">
        <v>2</v>
      </c>
      <c r="G37" s="100">
        <v>20</v>
      </c>
      <c r="H37" s="102">
        <v>75.63</v>
      </c>
      <c r="I37" s="4">
        <f>HLOOKUP($C37,'Параметры ПФ'!$F$8:$K$13,6,FALSE)</f>
        <v>77.97</v>
      </c>
      <c r="J37" s="4">
        <f t="shared" si="6"/>
        <v>2420.16</v>
      </c>
      <c r="K37" s="5">
        <f>IF(J37&lt;'Параметры ПФ'!J$3+0.01,'Стандартные программы'!J37,ROUNDDOWN('Параметры ПФ'!J$3/IF(H37=0,I37,IF(I37&gt;H37,H37,I37)),0)*IF(H37=0,I37,IF(I37&gt;H37,H37,I37)))</f>
        <v>2420.16</v>
      </c>
      <c r="L37" s="4">
        <f t="shared" si="7"/>
        <v>48403.199999999997</v>
      </c>
      <c r="M37" s="32">
        <f>IF(J37&lt;'Параметры ПФ'!J$3+0.01,E37*F37*G37,ROUNDDOWN('Параметры ПФ'!J$3/IF(H37=0,I37,IF(I37&gt;H37,H37,I37)),0)*G37)</f>
        <v>640</v>
      </c>
      <c r="N37" s="27">
        <f t="shared" si="8"/>
        <v>0</v>
      </c>
      <c r="P37" s="25">
        <f>IF(N37=0,0,IF(N37&gt;'[1]Расчет нормативных затрат'!J$2/2,0,IF(N37&lt;'[1]Расчет нормативных затрат'!J$2/3,2,1)))</f>
        <v>0</v>
      </c>
    </row>
    <row r="38" spans="1:16" x14ac:dyDescent="0.25">
      <c r="A38" s="93" t="s">
        <v>71</v>
      </c>
      <c r="B38" s="95" t="s">
        <v>92</v>
      </c>
      <c r="C38" s="93" t="s">
        <v>7</v>
      </c>
      <c r="D38" s="98">
        <v>36</v>
      </c>
      <c r="E38" s="98">
        <v>20</v>
      </c>
      <c r="F38" s="100">
        <v>2</v>
      </c>
      <c r="G38" s="100">
        <v>20</v>
      </c>
      <c r="H38" s="102">
        <v>75.63</v>
      </c>
      <c r="I38" s="4">
        <f>HLOOKUP($C38,'Параметры ПФ'!$F$8:$K$13,6,FALSE)</f>
        <v>77.97</v>
      </c>
      <c r="J38" s="4">
        <f t="shared" si="6"/>
        <v>3025.2</v>
      </c>
      <c r="K38" s="5">
        <f>IF(J38&lt;'Параметры ПФ'!J$3+0.01,'Стандартные программы'!J38,ROUNDDOWN('Параметры ПФ'!J$3/IF(H38=0,I38,IF(I38&gt;H38,H38,I38)),0)*IF(H38=0,I38,IF(I38&gt;H38,H38,I38)))</f>
        <v>3025.2</v>
      </c>
      <c r="L38" s="4">
        <f t="shared" si="7"/>
        <v>60504</v>
      </c>
      <c r="M38" s="32">
        <f>IF(J38&lt;'Параметры ПФ'!J$3+0.01,E38*F38*G38,ROUNDDOWN('Параметры ПФ'!J$3/IF(H38=0,I38,IF(I38&gt;H38,H38,I38)),0)*G38)</f>
        <v>800</v>
      </c>
      <c r="N38" s="27">
        <f t="shared" si="8"/>
        <v>0</v>
      </c>
      <c r="P38" s="25">
        <f>IF(N38=0,0,IF(N38&gt;'[1]Расчет нормативных затрат'!J$2/2,0,IF(N38&lt;'[1]Расчет нормативных затрат'!J$2/3,2,1)))</f>
        <v>0</v>
      </c>
    </row>
    <row r="39" spans="1:16" x14ac:dyDescent="0.25">
      <c r="A39" s="93" t="s">
        <v>71</v>
      </c>
      <c r="B39" s="95" t="s">
        <v>92</v>
      </c>
      <c r="C39" s="93" t="s">
        <v>7</v>
      </c>
      <c r="D39" s="98">
        <v>36</v>
      </c>
      <c r="E39" s="98">
        <v>16</v>
      </c>
      <c r="F39" s="100">
        <v>2</v>
      </c>
      <c r="G39" s="100">
        <v>20</v>
      </c>
      <c r="H39" s="102">
        <v>75.63</v>
      </c>
      <c r="I39" s="4">
        <f>HLOOKUP($C39,'Параметры ПФ'!$F$8:$K$13,6,FALSE)</f>
        <v>77.97</v>
      </c>
      <c r="J39" s="4">
        <f t="shared" si="6"/>
        <v>2420.16</v>
      </c>
      <c r="K39" s="5">
        <f>IF(J39&lt;'Параметры ПФ'!J$3+0.01,'Стандартные программы'!J39,ROUNDDOWN('Параметры ПФ'!J$3/IF(H39=0,I39,IF(I39&gt;H39,H39,I39)),0)*IF(H39=0,I39,IF(I39&gt;H39,H39,I39)))</f>
        <v>2420.16</v>
      </c>
      <c r="L39" s="4">
        <f t="shared" si="7"/>
        <v>48403.199999999997</v>
      </c>
      <c r="M39" s="32">
        <f>IF(J39&lt;'Параметры ПФ'!J$3+0.01,E39*F39*G39,ROUNDDOWN('Параметры ПФ'!J$3/IF(H39=0,I39,IF(I39&gt;H39,H39,I39)),0)*G39)</f>
        <v>640</v>
      </c>
      <c r="N39" s="27">
        <f t="shared" si="8"/>
        <v>0</v>
      </c>
      <c r="P39" s="25">
        <f>IF(N39=0,0,IF(N39&gt;'[1]Расчет нормативных затрат'!J$2/2,0,IF(N39&lt;'[1]Расчет нормативных затрат'!J$2/3,2,1)))</f>
        <v>0</v>
      </c>
    </row>
    <row r="40" spans="1:16" x14ac:dyDescent="0.25">
      <c r="A40" s="93" t="s">
        <v>71</v>
      </c>
      <c r="B40" s="95" t="s">
        <v>93</v>
      </c>
      <c r="C40" s="93" t="s">
        <v>7</v>
      </c>
      <c r="D40" s="98">
        <v>36</v>
      </c>
      <c r="E40" s="98">
        <v>20</v>
      </c>
      <c r="F40" s="100">
        <v>2</v>
      </c>
      <c r="G40" s="100">
        <v>20</v>
      </c>
      <c r="H40" s="102">
        <v>75.63</v>
      </c>
      <c r="I40" s="4">
        <f>HLOOKUP($C40,'Параметры ПФ'!$F$8:$K$13,6,FALSE)</f>
        <v>77.97</v>
      </c>
      <c r="J40" s="4">
        <f t="shared" si="6"/>
        <v>3025.2</v>
      </c>
      <c r="K40" s="5">
        <f>IF(J40&lt;'Параметры ПФ'!J$3+0.01,'Стандартные программы'!J40,ROUNDDOWN('Параметры ПФ'!J$3/IF(H40=0,I40,IF(I40&gt;H40,H40,I40)),0)*IF(H40=0,I40,IF(I40&gt;H40,H40,I40)))</f>
        <v>3025.2</v>
      </c>
      <c r="L40" s="4">
        <f t="shared" si="7"/>
        <v>60504</v>
      </c>
      <c r="M40" s="32">
        <f>IF(J40&lt;'Параметры ПФ'!J$3+0.01,E40*F40*G40,ROUNDDOWN('Параметры ПФ'!J$3/IF(H40=0,I40,IF(I40&gt;H40,H40,I40)),0)*G40)</f>
        <v>800</v>
      </c>
      <c r="N40" s="27">
        <f t="shared" si="8"/>
        <v>0</v>
      </c>
      <c r="P40" s="25">
        <f>IF(N40=0,0,IF(N40&gt;'[1]Расчет нормативных затрат'!J$2/2,0,IF(N40&lt;'[1]Расчет нормативных затрат'!J$2/3,2,1)))</f>
        <v>0</v>
      </c>
    </row>
    <row r="41" spans="1:16" x14ac:dyDescent="0.25">
      <c r="A41" s="93" t="s">
        <v>71</v>
      </c>
      <c r="B41" s="95" t="s">
        <v>93</v>
      </c>
      <c r="C41" s="93" t="s">
        <v>7</v>
      </c>
      <c r="D41" s="98">
        <v>36</v>
      </c>
      <c r="E41" s="98">
        <v>16</v>
      </c>
      <c r="F41" s="100">
        <v>2</v>
      </c>
      <c r="G41" s="100">
        <v>20</v>
      </c>
      <c r="H41" s="102">
        <v>75.63</v>
      </c>
      <c r="I41" s="4">
        <f>HLOOKUP($C41,'Параметры ПФ'!$F$8:$K$13,6,FALSE)</f>
        <v>77.97</v>
      </c>
      <c r="J41" s="4">
        <f t="shared" si="6"/>
        <v>2420.16</v>
      </c>
      <c r="K41" s="5">
        <f>IF(J41&lt;'Параметры ПФ'!J$3+0.01,'Стандартные программы'!J41,ROUNDDOWN('Параметры ПФ'!J$3/IF(H41=0,I41,IF(I41&gt;H41,H41,I41)),0)*IF(H41=0,I41,IF(I41&gt;H41,H41,I41)))</f>
        <v>2420.16</v>
      </c>
      <c r="L41" s="4">
        <f t="shared" si="7"/>
        <v>48403.199999999997</v>
      </c>
      <c r="M41" s="32">
        <f>IF(J41&lt;'Параметры ПФ'!J$3+0.01,E41*F41*G41,ROUNDDOWN('Параметры ПФ'!J$3/IF(H41=0,I41,IF(I41&gt;H41,H41,I41)),0)*G41)</f>
        <v>640</v>
      </c>
      <c r="N41" s="27">
        <f t="shared" si="8"/>
        <v>0</v>
      </c>
      <c r="P41" s="25">
        <f>IF(N41=0,0,IF(N41&gt;'[1]Расчет нормативных затрат'!J$2/2,0,IF(N41&lt;'[1]Расчет нормативных затрат'!J$2/3,2,1)))</f>
        <v>0</v>
      </c>
    </row>
    <row r="42" spans="1:16" x14ac:dyDescent="0.25">
      <c r="A42" s="93" t="s">
        <v>71</v>
      </c>
      <c r="B42" s="95" t="s">
        <v>94</v>
      </c>
      <c r="C42" s="93" t="s">
        <v>7</v>
      </c>
      <c r="D42" s="98">
        <v>36</v>
      </c>
      <c r="E42" s="98">
        <v>20</v>
      </c>
      <c r="F42" s="100">
        <v>4</v>
      </c>
      <c r="G42" s="100">
        <v>20</v>
      </c>
      <c r="H42" s="102">
        <v>75.63</v>
      </c>
      <c r="I42" s="4">
        <f>HLOOKUP($C42,'Параметры ПФ'!$F$8:$K$13,6,FALSE)</f>
        <v>77.97</v>
      </c>
      <c r="J42" s="4">
        <f t="shared" si="6"/>
        <v>6050.4</v>
      </c>
      <c r="K42" s="5">
        <f>IF(J42&lt;'Параметры ПФ'!J$3+0.01,'Стандартные программы'!J42,ROUNDDOWN('Параметры ПФ'!J$3/IF(H42=0,I42,IF(I42&gt;H42,H42,I42)),0)*IF(H42=0,I42,IF(I42&gt;H42,H42,I42)))</f>
        <v>6050.4</v>
      </c>
      <c r="L42" s="4">
        <f t="shared" si="7"/>
        <v>121008</v>
      </c>
      <c r="M42" s="32">
        <f>IF(J42&lt;'Параметры ПФ'!J$3+0.01,E42*F42*G42,ROUNDDOWN('Параметры ПФ'!J$3/IF(H42=0,I42,IF(I42&gt;H42,H42,I42)),0)*G42)</f>
        <v>1600</v>
      </c>
      <c r="N42" s="27">
        <f t="shared" si="8"/>
        <v>0</v>
      </c>
      <c r="P42" s="25">
        <f>IF(N42=0,0,IF(N42&gt;'[1]Расчет нормативных затрат'!J$2/2,0,IF(N42&lt;'[1]Расчет нормативных затрат'!J$2/3,2,1)))</f>
        <v>0</v>
      </c>
    </row>
    <row r="43" spans="1:16" x14ac:dyDescent="0.25">
      <c r="A43" s="93" t="s">
        <v>71</v>
      </c>
      <c r="B43" s="95" t="s">
        <v>94</v>
      </c>
      <c r="C43" s="93" t="s">
        <v>7</v>
      </c>
      <c r="D43" s="98">
        <v>36</v>
      </c>
      <c r="E43" s="98">
        <v>16</v>
      </c>
      <c r="F43" s="100">
        <v>4</v>
      </c>
      <c r="G43" s="100">
        <v>20</v>
      </c>
      <c r="H43" s="102">
        <v>75.63</v>
      </c>
      <c r="I43" s="4">
        <f>HLOOKUP($C43,'Параметры ПФ'!$F$8:$K$13,6,FALSE)</f>
        <v>77.97</v>
      </c>
      <c r="J43" s="4">
        <f t="shared" si="6"/>
        <v>4840.32</v>
      </c>
      <c r="K43" s="5">
        <f>IF(J43&lt;'Параметры ПФ'!J$3+0.01,'Стандартные программы'!J43,ROUNDDOWN('Параметры ПФ'!J$3/IF(H43=0,I43,IF(I43&gt;H43,H43,I43)),0)*IF(H43=0,I43,IF(I43&gt;H43,H43,I43)))</f>
        <v>4840.32</v>
      </c>
      <c r="L43" s="4">
        <f t="shared" si="7"/>
        <v>96806.399999999994</v>
      </c>
      <c r="M43" s="32">
        <f>IF(J43&lt;'Параметры ПФ'!J$3+0.01,E43*F43*G43,ROUNDDOWN('Параметры ПФ'!J$3/IF(H43=0,I43,IF(I43&gt;H43,H43,I43)),0)*G43)</f>
        <v>1280</v>
      </c>
      <c r="N43" s="27">
        <f t="shared" si="8"/>
        <v>0</v>
      </c>
      <c r="P43" s="25">
        <f>IF(N43=0,0,IF(N43&gt;'[1]Расчет нормативных затрат'!J$2/2,0,IF(N43&lt;'[1]Расчет нормативных затрат'!J$2/3,2,1)))</f>
        <v>0</v>
      </c>
    </row>
    <row r="44" spans="1:16" x14ac:dyDescent="0.25">
      <c r="A44" s="93" t="s">
        <v>71</v>
      </c>
      <c r="B44" s="95" t="s">
        <v>95</v>
      </c>
      <c r="C44" s="93" t="s">
        <v>7</v>
      </c>
      <c r="D44" s="98">
        <v>36</v>
      </c>
      <c r="E44" s="98">
        <v>20</v>
      </c>
      <c r="F44" s="100">
        <v>2</v>
      </c>
      <c r="G44" s="100">
        <v>15</v>
      </c>
      <c r="H44" s="102">
        <v>75.63</v>
      </c>
      <c r="I44" s="4">
        <f>HLOOKUP($C44,'Параметры ПФ'!$F$8:$K$13,6,FALSE)</f>
        <v>77.97</v>
      </c>
      <c r="J44" s="4">
        <f t="shared" si="6"/>
        <v>3025.2</v>
      </c>
      <c r="K44" s="5">
        <f>IF(J44&lt;'Параметры ПФ'!J$3+0.01,'Стандартные программы'!J44,ROUNDDOWN('Параметры ПФ'!J$3/IF(H44=0,I44,IF(I44&gt;H44,H44,I44)),0)*IF(H44=0,I44,IF(I44&gt;H44,H44,I44)))</f>
        <v>3025.2</v>
      </c>
      <c r="L44" s="4">
        <f t="shared" si="7"/>
        <v>45378</v>
      </c>
      <c r="M44" s="32">
        <f>IF(J44&lt;'Параметры ПФ'!J$3+0.01,E44*F44*G44,ROUNDDOWN('Параметры ПФ'!J$3/IF(H44=0,I44,IF(I44&gt;H44,H44,I44)),0)*G44)</f>
        <v>600</v>
      </c>
      <c r="N44" s="27">
        <f t="shared" si="8"/>
        <v>0</v>
      </c>
      <c r="P44" s="25">
        <f>IF(N44=0,0,IF(N44&gt;'[1]Расчет нормативных затрат'!J$2/2,0,IF(N44&lt;'[1]Расчет нормативных затрат'!J$2/3,2,1)))</f>
        <v>0</v>
      </c>
    </row>
    <row r="45" spans="1:16" x14ac:dyDescent="0.25">
      <c r="A45" s="93" t="s">
        <v>71</v>
      </c>
      <c r="B45" s="95" t="s">
        <v>95</v>
      </c>
      <c r="C45" s="93" t="s">
        <v>7</v>
      </c>
      <c r="D45" s="98">
        <v>36</v>
      </c>
      <c r="E45" s="98">
        <v>16</v>
      </c>
      <c r="F45" s="100">
        <v>2</v>
      </c>
      <c r="G45" s="100">
        <v>15</v>
      </c>
      <c r="H45" s="102">
        <v>75.63</v>
      </c>
      <c r="I45" s="4">
        <f>HLOOKUP($C45,'Параметры ПФ'!$F$8:$K$13,6,FALSE)</f>
        <v>77.97</v>
      </c>
      <c r="J45" s="4">
        <f t="shared" si="6"/>
        <v>2420.16</v>
      </c>
      <c r="K45" s="5">
        <f>IF(J45&lt;'Параметры ПФ'!J$3+0.01,'Стандартные программы'!J45,ROUNDDOWN('Параметры ПФ'!J$3/IF(H45=0,I45,IF(I45&gt;H45,H45,I45)),0)*IF(H45=0,I45,IF(I45&gt;H45,H45,I45)))</f>
        <v>2420.16</v>
      </c>
      <c r="L45" s="4">
        <f t="shared" si="7"/>
        <v>36302.400000000001</v>
      </c>
      <c r="M45" s="32">
        <f>IF(J45&lt;'Параметры ПФ'!J$3+0.01,E45*F45*G45,ROUNDDOWN('Параметры ПФ'!J$3/IF(H45=0,I45,IF(I45&gt;H45,H45,I45)),0)*G45)</f>
        <v>480</v>
      </c>
      <c r="N45" s="27">
        <f t="shared" si="8"/>
        <v>0</v>
      </c>
      <c r="P45" s="25">
        <f>IF(N45=0,0,IF(N45&gt;'[1]Расчет нормативных затрат'!J$2/2,0,IF(N45&lt;'[1]Расчет нормативных затрат'!J$2/3,2,1)))</f>
        <v>0</v>
      </c>
    </row>
    <row r="46" spans="1:16" x14ac:dyDescent="0.25">
      <c r="A46" s="93" t="s">
        <v>71</v>
      </c>
      <c r="B46" s="95" t="s">
        <v>96</v>
      </c>
      <c r="C46" s="93" t="s">
        <v>7</v>
      </c>
      <c r="D46" s="98">
        <v>36</v>
      </c>
      <c r="E46" s="98">
        <v>20</v>
      </c>
      <c r="F46" s="100">
        <v>4</v>
      </c>
      <c r="G46" s="100">
        <v>15</v>
      </c>
      <c r="H46" s="102">
        <v>75.63</v>
      </c>
      <c r="I46" s="4">
        <f>HLOOKUP($C46,'Параметры ПФ'!$F$8:$K$13,6,FALSE)</f>
        <v>77.97</v>
      </c>
      <c r="J46" s="4">
        <f t="shared" si="6"/>
        <v>6050.4</v>
      </c>
      <c r="K46" s="5">
        <f>IF(J46&lt;'Параметры ПФ'!J$3+0.01,'Стандартные программы'!J46,ROUNDDOWN('Параметры ПФ'!J$3/IF(H46=0,I46,IF(I46&gt;H46,H46,I46)),0)*IF(H46=0,I46,IF(I46&gt;H46,H46,I46)))</f>
        <v>6050.4</v>
      </c>
      <c r="L46" s="4">
        <f t="shared" si="7"/>
        <v>90756</v>
      </c>
      <c r="M46" s="32">
        <f>IF(J46&lt;'Параметры ПФ'!J$3+0.01,E46*F46*G46,ROUNDDOWN('Параметры ПФ'!J$3/IF(H46=0,I46,IF(I46&gt;H46,H46,I46)),0)*G46)</f>
        <v>1200</v>
      </c>
      <c r="N46" s="27">
        <f t="shared" si="8"/>
        <v>0</v>
      </c>
      <c r="P46" s="25">
        <f>IF(N46=0,0,IF(N46&gt;'[1]Расчет нормативных затрат'!J$2/2,0,IF(N46&lt;'[1]Расчет нормативных затрат'!J$2/3,2,1)))</f>
        <v>0</v>
      </c>
    </row>
    <row r="47" spans="1:16" x14ac:dyDescent="0.25">
      <c r="A47" s="93" t="s">
        <v>71</v>
      </c>
      <c r="B47" s="95" t="s">
        <v>96</v>
      </c>
      <c r="C47" s="93" t="s">
        <v>7</v>
      </c>
      <c r="D47" s="98">
        <v>36</v>
      </c>
      <c r="E47" s="98">
        <v>16</v>
      </c>
      <c r="F47" s="100">
        <v>4</v>
      </c>
      <c r="G47" s="100">
        <v>15</v>
      </c>
      <c r="H47" s="102">
        <v>75.63</v>
      </c>
      <c r="I47" s="4">
        <f>HLOOKUP($C47,'Параметры ПФ'!$F$8:$K$13,6,FALSE)</f>
        <v>77.97</v>
      </c>
      <c r="J47" s="4">
        <f t="shared" si="6"/>
        <v>4840.32</v>
      </c>
      <c r="K47" s="5">
        <f>IF(J47&lt;'Параметры ПФ'!J$3+0.01,'Стандартные программы'!J47,ROUNDDOWN('Параметры ПФ'!J$3/IF(H47=0,I47,IF(I47&gt;H47,H47,I47)),0)*IF(H47=0,I47,IF(I47&gt;H47,H47,I47)))</f>
        <v>4840.32</v>
      </c>
      <c r="L47" s="4">
        <f t="shared" si="7"/>
        <v>72604.800000000003</v>
      </c>
      <c r="M47" s="32">
        <f>IF(J47&lt;'Параметры ПФ'!J$3+0.01,E47*F47*G47,ROUNDDOWN('Параметры ПФ'!J$3/IF(H47=0,I47,IF(I47&gt;H47,H47,I47)),0)*G47)</f>
        <v>960</v>
      </c>
      <c r="N47" s="27">
        <f t="shared" si="8"/>
        <v>0</v>
      </c>
      <c r="P47" s="25">
        <f>IF(N47=0,0,IF(N47&gt;'[1]Расчет нормативных затрат'!J$2/2,0,IF(N47&lt;'[1]Расчет нормативных затрат'!J$2/3,2,1)))</f>
        <v>0</v>
      </c>
    </row>
    <row r="48" spans="1:16" x14ac:dyDescent="0.25">
      <c r="A48" s="93" t="s">
        <v>71</v>
      </c>
      <c r="B48" s="95" t="s">
        <v>97</v>
      </c>
      <c r="C48" s="93" t="s">
        <v>7</v>
      </c>
      <c r="D48" s="98">
        <v>36</v>
      </c>
      <c r="E48" s="98">
        <v>20</v>
      </c>
      <c r="F48" s="100">
        <v>2</v>
      </c>
      <c r="G48" s="100">
        <v>20</v>
      </c>
      <c r="H48" s="102">
        <v>75.63</v>
      </c>
      <c r="I48" s="4">
        <f>HLOOKUP($C48,'Параметры ПФ'!$F$8:$K$13,6,FALSE)</f>
        <v>77.97</v>
      </c>
      <c r="J48" s="4">
        <f t="shared" si="6"/>
        <v>3025.2</v>
      </c>
      <c r="K48" s="5">
        <f>IF(J48&lt;'Параметры ПФ'!J$3+0.01,'Стандартные программы'!J48,ROUNDDOWN('Параметры ПФ'!J$3/IF(H48=0,I48,IF(I48&gt;H48,H48,I48)),0)*IF(H48=0,I48,IF(I48&gt;H48,H48,I48)))</f>
        <v>3025.2</v>
      </c>
      <c r="L48" s="4">
        <f t="shared" si="7"/>
        <v>60504</v>
      </c>
      <c r="M48" s="32">
        <f>IF(J48&lt;'Параметры ПФ'!J$3+0.01,E48*F48*G48,ROUNDDOWN('Параметры ПФ'!J$3/IF(H48=0,I48,IF(I48&gt;H48,H48,I48)),0)*G48)</f>
        <v>800</v>
      </c>
      <c r="N48" s="27">
        <f t="shared" si="8"/>
        <v>0</v>
      </c>
      <c r="P48" s="25">
        <f>IF(N48=0,0,IF(N48&gt;'[1]Расчет нормативных затрат'!J$2/2,0,IF(N48&lt;'[1]Расчет нормативных затрат'!J$2/3,2,1)))</f>
        <v>0</v>
      </c>
    </row>
    <row r="49" spans="1:16" x14ac:dyDescent="0.25">
      <c r="A49" s="93" t="s">
        <v>71</v>
      </c>
      <c r="B49" s="95" t="s">
        <v>97</v>
      </c>
      <c r="C49" s="93" t="s">
        <v>7</v>
      </c>
      <c r="D49" s="98">
        <v>36</v>
      </c>
      <c r="E49" s="98">
        <v>16</v>
      </c>
      <c r="F49" s="100">
        <v>2</v>
      </c>
      <c r="G49" s="100">
        <v>20</v>
      </c>
      <c r="H49" s="102">
        <v>75.63</v>
      </c>
      <c r="I49" s="4">
        <f>HLOOKUP($C49,'Параметры ПФ'!$F$8:$K$13,6,FALSE)</f>
        <v>77.97</v>
      </c>
      <c r="J49" s="4">
        <f t="shared" si="6"/>
        <v>2420.16</v>
      </c>
      <c r="K49" s="5">
        <f>IF(J49&lt;'Параметры ПФ'!J$3+0.01,'Стандартные программы'!J49,ROUNDDOWN('Параметры ПФ'!J$3/IF(H49=0,I49,IF(I49&gt;H49,H49,I49)),0)*IF(H49=0,I49,IF(I49&gt;H49,H49,I49)))</f>
        <v>2420.16</v>
      </c>
      <c r="L49" s="4">
        <f t="shared" si="7"/>
        <v>48403.199999999997</v>
      </c>
      <c r="M49" s="32">
        <f>IF(J49&lt;'Параметры ПФ'!J$3+0.01,E49*F49*G49,ROUNDDOWN('Параметры ПФ'!J$3/IF(H49=0,I49,IF(I49&gt;H49,H49,I49)),0)*G49)</f>
        <v>640</v>
      </c>
      <c r="N49" s="27">
        <f t="shared" si="8"/>
        <v>0</v>
      </c>
      <c r="P49" s="25">
        <f>IF(N49=0,0,IF(N49&gt;'[1]Расчет нормативных затрат'!J$2/2,0,IF(N49&lt;'[1]Расчет нормативных затрат'!J$2/3,2,1)))</f>
        <v>0</v>
      </c>
    </row>
    <row r="50" spans="1:16" x14ac:dyDescent="0.25">
      <c r="A50" s="93" t="s">
        <v>71</v>
      </c>
      <c r="B50" s="95" t="s">
        <v>98</v>
      </c>
      <c r="C50" s="93" t="s">
        <v>7</v>
      </c>
      <c r="D50" s="98">
        <v>36</v>
      </c>
      <c r="E50" s="98">
        <v>20</v>
      </c>
      <c r="F50" s="100">
        <v>2</v>
      </c>
      <c r="G50" s="100">
        <v>20</v>
      </c>
      <c r="H50" s="102">
        <v>75.63</v>
      </c>
      <c r="I50" s="4">
        <f>HLOOKUP($C50,'Параметры ПФ'!$F$8:$K$13,6,FALSE)</f>
        <v>77.97</v>
      </c>
      <c r="J50" s="4">
        <f t="shared" si="6"/>
        <v>3025.2</v>
      </c>
      <c r="K50" s="5">
        <f>IF(J50&lt;'Параметры ПФ'!J$3+0.01,'Стандартные программы'!J50,ROUNDDOWN('Параметры ПФ'!J$3/IF(H50=0,I50,IF(I50&gt;H50,H50,I50)),0)*IF(H50=0,I50,IF(I50&gt;H50,H50,I50)))</f>
        <v>3025.2</v>
      </c>
      <c r="L50" s="4">
        <f t="shared" si="7"/>
        <v>60504</v>
      </c>
      <c r="M50" s="32">
        <f>IF(J50&lt;'Параметры ПФ'!J$3+0.01,E50*F50*G50,ROUNDDOWN('Параметры ПФ'!J$3/IF(H50=0,I50,IF(I50&gt;H50,H50,I50)),0)*G50)</f>
        <v>800</v>
      </c>
      <c r="N50" s="27">
        <f t="shared" si="8"/>
        <v>0</v>
      </c>
      <c r="P50" s="25">
        <f>IF(N50=0,0,IF(N50&gt;'[1]Расчет нормативных затрат'!J$2/2,0,IF(N50&lt;'[1]Расчет нормативных затрат'!J$2/3,2,1)))</f>
        <v>0</v>
      </c>
    </row>
    <row r="51" spans="1:16" x14ac:dyDescent="0.25">
      <c r="A51" s="93" t="s">
        <v>71</v>
      </c>
      <c r="B51" s="95" t="s">
        <v>98</v>
      </c>
      <c r="C51" s="93" t="s">
        <v>7</v>
      </c>
      <c r="D51" s="98">
        <v>36</v>
      </c>
      <c r="E51" s="98">
        <v>16</v>
      </c>
      <c r="F51" s="100">
        <v>2</v>
      </c>
      <c r="G51" s="100">
        <v>20</v>
      </c>
      <c r="H51" s="102">
        <v>75.63</v>
      </c>
      <c r="I51" s="4">
        <f>HLOOKUP($C51,'Параметры ПФ'!$F$8:$K$13,6,FALSE)</f>
        <v>77.97</v>
      </c>
      <c r="J51" s="4">
        <f t="shared" si="6"/>
        <v>2420.16</v>
      </c>
      <c r="K51" s="5">
        <f>IF(J51&lt;'Параметры ПФ'!J$3+0.01,'Стандартные программы'!J51,ROUNDDOWN('Параметры ПФ'!J$3/IF(H51=0,I51,IF(I51&gt;H51,H51,I51)),0)*IF(H51=0,I51,IF(I51&gt;H51,H51,I51)))</f>
        <v>2420.16</v>
      </c>
      <c r="L51" s="4">
        <f t="shared" si="7"/>
        <v>48403.199999999997</v>
      </c>
      <c r="M51" s="32">
        <f>IF(J51&lt;'Параметры ПФ'!J$3+0.01,E51*F51*G51,ROUNDDOWN('Параметры ПФ'!J$3/IF(H51=0,I51,IF(I51&gt;H51,H51,I51)),0)*G51)</f>
        <v>640</v>
      </c>
      <c r="N51" s="27">
        <f t="shared" si="8"/>
        <v>0</v>
      </c>
      <c r="P51" s="25">
        <f>IF(N51=0,0,IF(N51&gt;'[1]Расчет нормативных затрат'!J$2/2,0,IF(N51&lt;'[1]Расчет нормативных затрат'!J$2/3,2,1)))</f>
        <v>0</v>
      </c>
    </row>
    <row r="52" spans="1:16" x14ac:dyDescent="0.25">
      <c r="A52" s="93" t="s">
        <v>71</v>
      </c>
      <c r="B52" s="95" t="s">
        <v>99</v>
      </c>
      <c r="C52" s="93" t="s">
        <v>7</v>
      </c>
      <c r="D52" s="98">
        <v>36</v>
      </c>
      <c r="E52" s="98">
        <v>20</v>
      </c>
      <c r="F52" s="100">
        <v>4</v>
      </c>
      <c r="G52" s="100">
        <v>20</v>
      </c>
      <c r="H52" s="102">
        <v>75.63</v>
      </c>
      <c r="I52" s="4">
        <f>HLOOKUP($C52,'Параметры ПФ'!$F$8:$K$13,6,FALSE)</f>
        <v>77.97</v>
      </c>
      <c r="J52" s="4">
        <f t="shared" si="6"/>
        <v>6050.4</v>
      </c>
      <c r="K52" s="5">
        <f>IF(J52&lt;'Параметры ПФ'!J$3+0.01,'Стандартные программы'!J52,ROUNDDOWN('Параметры ПФ'!J$3/IF(H52=0,I52,IF(I52&gt;H52,H52,I52)),0)*IF(H52=0,I52,IF(I52&gt;H52,H52,I52)))</f>
        <v>6050.4</v>
      </c>
      <c r="L52" s="4">
        <f t="shared" si="7"/>
        <v>121008</v>
      </c>
      <c r="M52" s="32">
        <f>IF(J52&lt;'Параметры ПФ'!J$3+0.01,E52*F52*G52,ROUNDDOWN('Параметры ПФ'!J$3/IF(H52=0,I52,IF(I52&gt;H52,H52,I52)),0)*G52)</f>
        <v>1600</v>
      </c>
      <c r="N52" s="27">
        <f t="shared" si="8"/>
        <v>0</v>
      </c>
      <c r="P52" s="25">
        <f>IF(N52=0,0,IF(N52&gt;'[1]Расчет нормативных затрат'!J$2/2,0,IF(N52&lt;'[1]Расчет нормативных затрат'!J$2/3,2,1)))</f>
        <v>0</v>
      </c>
    </row>
    <row r="53" spans="1:16" x14ac:dyDescent="0.25">
      <c r="A53" s="93" t="s">
        <v>71</v>
      </c>
      <c r="B53" s="95" t="s">
        <v>99</v>
      </c>
      <c r="C53" s="93" t="s">
        <v>7</v>
      </c>
      <c r="D53" s="98">
        <v>36</v>
      </c>
      <c r="E53" s="98">
        <v>16</v>
      </c>
      <c r="F53" s="100">
        <v>4</v>
      </c>
      <c r="G53" s="100">
        <v>20</v>
      </c>
      <c r="H53" s="102">
        <v>75.63</v>
      </c>
      <c r="I53" s="4">
        <f>HLOOKUP($C53,'Параметры ПФ'!$F$8:$K$13,6,FALSE)</f>
        <v>77.97</v>
      </c>
      <c r="J53" s="4">
        <f t="shared" si="6"/>
        <v>4840.32</v>
      </c>
      <c r="K53" s="5">
        <f>IF(J53&lt;'Параметры ПФ'!J$3+0.01,'Стандартные программы'!J53,ROUNDDOWN('Параметры ПФ'!J$3/IF(H53=0,I53,IF(I53&gt;H53,H53,I53)),0)*IF(H53=0,I53,IF(I53&gt;H53,H53,I53)))</f>
        <v>4840.32</v>
      </c>
      <c r="L53" s="4">
        <f t="shared" si="7"/>
        <v>96806.399999999994</v>
      </c>
      <c r="M53" s="32">
        <f>IF(J53&lt;'Параметры ПФ'!J$3+0.01,E53*F53*G53,ROUNDDOWN('Параметры ПФ'!J$3/IF(H53=0,I53,IF(I53&gt;H53,H53,I53)),0)*G53)</f>
        <v>1280</v>
      </c>
      <c r="N53" s="27">
        <f t="shared" si="8"/>
        <v>0</v>
      </c>
      <c r="P53" s="25">
        <f>IF(N53=0,0,IF(N53&gt;'[1]Расчет нормативных затрат'!J$2/2,0,IF(N53&lt;'[1]Расчет нормативных затрат'!J$2/3,2,1)))</f>
        <v>0</v>
      </c>
    </row>
    <row r="54" spans="1:16" x14ac:dyDescent="0.25">
      <c r="A54" s="93" t="s">
        <v>71</v>
      </c>
      <c r="B54" s="95" t="s">
        <v>100</v>
      </c>
      <c r="C54" s="93" t="s">
        <v>42</v>
      </c>
      <c r="D54" s="98">
        <v>36</v>
      </c>
      <c r="E54" s="98">
        <v>20</v>
      </c>
      <c r="F54" s="100">
        <v>2</v>
      </c>
      <c r="G54" s="100">
        <v>20</v>
      </c>
      <c r="H54" s="102">
        <v>75.63</v>
      </c>
      <c r="I54" s="4">
        <f>HLOOKUP($C54,'Параметры ПФ'!$F$8:$K$13,6,FALSE)</f>
        <v>78.58</v>
      </c>
      <c r="J54" s="4">
        <f t="shared" si="6"/>
        <v>3025.2</v>
      </c>
      <c r="K54" s="5">
        <f>IF(J54&lt;'Параметры ПФ'!J$3+0.01,'Стандартные программы'!J54,ROUNDDOWN('Параметры ПФ'!J$3/IF(H54=0,I54,IF(I54&gt;H54,H54,I54)),0)*IF(H54=0,I54,IF(I54&gt;H54,H54,I54)))</f>
        <v>3025.2</v>
      </c>
      <c r="L54" s="4">
        <f t="shared" si="7"/>
        <v>60504</v>
      </c>
      <c r="M54" s="32">
        <f>IF(J54&lt;'Параметры ПФ'!J$3+0.01,E54*F54*G54,ROUNDDOWN('Параметры ПФ'!J$3/IF(H54=0,I54,IF(I54&gt;H54,H54,I54)),0)*G54)</f>
        <v>800</v>
      </c>
      <c r="N54" s="27">
        <f t="shared" si="8"/>
        <v>0</v>
      </c>
      <c r="P54" s="25">
        <f>IF(N54=0,0,IF(N54&gt;'[1]Расчет нормативных затрат'!J$2/2,0,IF(N54&lt;'[1]Расчет нормативных затрат'!J$2/3,2,1)))</f>
        <v>0</v>
      </c>
    </row>
    <row r="55" spans="1:16" x14ac:dyDescent="0.25">
      <c r="A55" s="93" t="s">
        <v>71</v>
      </c>
      <c r="B55" s="95" t="s">
        <v>100</v>
      </c>
      <c r="C55" s="93" t="s">
        <v>42</v>
      </c>
      <c r="D55" s="98">
        <v>36</v>
      </c>
      <c r="E55" s="98">
        <v>16</v>
      </c>
      <c r="F55" s="100">
        <v>2</v>
      </c>
      <c r="G55" s="100">
        <v>20</v>
      </c>
      <c r="H55" s="102">
        <v>75.63</v>
      </c>
      <c r="I55" s="4">
        <f>HLOOKUP($C55,'Параметры ПФ'!$F$8:$K$13,6,FALSE)</f>
        <v>78.58</v>
      </c>
      <c r="J55" s="4">
        <f t="shared" si="6"/>
        <v>2420.16</v>
      </c>
      <c r="K55" s="5">
        <f>IF(J55&lt;'Параметры ПФ'!J$3+0.01,'Стандартные программы'!J55,ROUNDDOWN('Параметры ПФ'!J$3/IF(H55=0,I55,IF(I55&gt;H55,H55,I55)),0)*IF(H55=0,I55,IF(I55&gt;H55,H55,I55)))</f>
        <v>2420.16</v>
      </c>
      <c r="L55" s="4">
        <f t="shared" si="7"/>
        <v>48403.199999999997</v>
      </c>
      <c r="M55" s="32">
        <f>IF(J55&lt;'Параметры ПФ'!J$3+0.01,E55*F55*G55,ROUNDDOWN('Параметры ПФ'!J$3/IF(H55=0,I55,IF(I55&gt;H55,H55,I55)),0)*G55)</f>
        <v>640</v>
      </c>
      <c r="N55" s="27">
        <f t="shared" si="8"/>
        <v>0</v>
      </c>
      <c r="P55" s="25">
        <f>IF(N55=0,0,IF(N55&gt;'[1]Расчет нормативных затрат'!J$2/2,0,IF(N55&lt;'[1]Расчет нормативных затрат'!J$2/3,2,1)))</f>
        <v>0</v>
      </c>
    </row>
    <row r="56" spans="1:16" x14ac:dyDescent="0.25">
      <c r="A56" s="93" t="s">
        <v>71</v>
      </c>
      <c r="B56" s="95" t="s">
        <v>101</v>
      </c>
      <c r="C56" s="93" t="s">
        <v>42</v>
      </c>
      <c r="D56" s="98">
        <v>36</v>
      </c>
      <c r="E56" s="98">
        <v>20</v>
      </c>
      <c r="F56" s="100">
        <v>4</v>
      </c>
      <c r="G56" s="100">
        <v>20</v>
      </c>
      <c r="H56" s="102">
        <v>75.63</v>
      </c>
      <c r="I56" s="4">
        <f>HLOOKUP($C56,'Параметры ПФ'!$F$8:$K$13,6,FALSE)</f>
        <v>78.58</v>
      </c>
      <c r="J56" s="4">
        <f t="shared" ref="J56:J81" si="9">IF(H56=0,I56*F56*E56,IF(I56&gt;H56,H56*F56*E56,I56*F56*E56))</f>
        <v>6050.4</v>
      </c>
      <c r="K56" s="5">
        <f>IF(J56&lt;'Параметры ПФ'!J$3+0.01,'Стандартные программы'!J56,ROUNDDOWN('Параметры ПФ'!J$3/IF(H56=0,I56,IF(I56&gt;H56,H56,I56)),0)*IF(H56=0,I56,IF(I56&gt;H56,H56,I56)))</f>
        <v>6050.4</v>
      </c>
      <c r="L56" s="4">
        <f t="shared" ref="L56:L81" si="10">K56*G56</f>
        <v>121008</v>
      </c>
      <c r="M56" s="32">
        <f>IF(J56&lt;'Параметры ПФ'!J$3+0.01,E56*F56*G56,ROUNDDOWN('Параметры ПФ'!J$3/IF(H56=0,I56,IF(I56&gt;H56,H56,I56)),0)*G56)</f>
        <v>1600</v>
      </c>
      <c r="N56" s="27">
        <f t="shared" ref="N56:N81" si="11">IF(H56=0,I56*F56*E56,IF(I56&gt;H56,H56*F56*E56,I56*F56*E56))-K56</f>
        <v>0</v>
      </c>
      <c r="P56" s="25">
        <f>IF(N56=0,0,IF(N56&gt;'[1]Расчет нормативных затрат'!J$2/2,0,IF(N56&lt;'[1]Расчет нормативных затрат'!J$2/3,2,1)))</f>
        <v>0</v>
      </c>
    </row>
    <row r="57" spans="1:16" x14ac:dyDescent="0.25">
      <c r="A57" s="93" t="s">
        <v>71</v>
      </c>
      <c r="B57" s="95" t="s">
        <v>101</v>
      </c>
      <c r="C57" s="93" t="s">
        <v>42</v>
      </c>
      <c r="D57" s="98">
        <v>36</v>
      </c>
      <c r="E57" s="98">
        <v>16</v>
      </c>
      <c r="F57" s="100">
        <v>4</v>
      </c>
      <c r="G57" s="100">
        <v>20</v>
      </c>
      <c r="H57" s="102">
        <v>75.63</v>
      </c>
      <c r="I57" s="4">
        <f>HLOOKUP($C57,'Параметры ПФ'!$F$8:$K$13,6,FALSE)</f>
        <v>78.58</v>
      </c>
      <c r="J57" s="4">
        <f t="shared" si="9"/>
        <v>4840.32</v>
      </c>
      <c r="K57" s="5">
        <f>IF(J57&lt;'Параметры ПФ'!J$3+0.01,'Стандартные программы'!J57,ROUNDDOWN('Параметры ПФ'!J$3/IF(H57=0,I57,IF(I57&gt;H57,H57,I57)),0)*IF(H57=0,I57,IF(I57&gt;H57,H57,I57)))</f>
        <v>4840.32</v>
      </c>
      <c r="L57" s="4">
        <f t="shared" si="10"/>
        <v>96806.399999999994</v>
      </c>
      <c r="M57" s="32">
        <f>IF(J57&lt;'Параметры ПФ'!J$3+0.01,E57*F57*G57,ROUNDDOWN('Параметры ПФ'!J$3/IF(H57=0,I57,IF(I57&gt;H57,H57,I57)),0)*G57)</f>
        <v>1280</v>
      </c>
      <c r="N57" s="27">
        <f t="shared" si="11"/>
        <v>0</v>
      </c>
      <c r="P57" s="25">
        <f>IF(N57=0,0,IF(N57&gt;'[1]Расчет нормативных затрат'!J$2/2,0,IF(N57&lt;'[1]Расчет нормативных затрат'!J$2/3,2,1)))</f>
        <v>0</v>
      </c>
    </row>
    <row r="58" spans="1:16" x14ac:dyDescent="0.25">
      <c r="A58" s="93" t="s">
        <v>71</v>
      </c>
      <c r="B58" s="95" t="s">
        <v>102</v>
      </c>
      <c r="C58" s="93" t="s">
        <v>42</v>
      </c>
      <c r="D58" s="98">
        <v>36</v>
      </c>
      <c r="E58" s="98">
        <v>20</v>
      </c>
      <c r="F58" s="100">
        <v>2</v>
      </c>
      <c r="G58" s="100">
        <v>20</v>
      </c>
      <c r="H58" s="102">
        <v>75.63</v>
      </c>
      <c r="I58" s="4">
        <f>HLOOKUP($C58,'Параметры ПФ'!$F$8:$K$13,6,FALSE)</f>
        <v>78.58</v>
      </c>
      <c r="J58" s="4">
        <f t="shared" si="9"/>
        <v>3025.2</v>
      </c>
      <c r="K58" s="5">
        <f>IF(J58&lt;'Параметры ПФ'!J$3+0.01,'Стандартные программы'!J58,ROUNDDOWN('Параметры ПФ'!J$3/IF(H58=0,I58,IF(I58&gt;H58,H58,I58)),0)*IF(H58=0,I58,IF(I58&gt;H58,H58,I58)))</f>
        <v>3025.2</v>
      </c>
      <c r="L58" s="4">
        <f t="shared" si="10"/>
        <v>60504</v>
      </c>
      <c r="M58" s="32">
        <f>IF(J58&lt;'Параметры ПФ'!J$3+0.01,E58*F58*G58,ROUNDDOWN('Параметры ПФ'!J$3/IF(H58=0,I58,IF(I58&gt;H58,H58,I58)),0)*G58)</f>
        <v>800</v>
      </c>
      <c r="N58" s="27">
        <f t="shared" si="11"/>
        <v>0</v>
      </c>
      <c r="P58" s="25">
        <f>IF(N58=0,0,IF(N58&gt;'[1]Расчет нормативных затрат'!J$2/2,0,IF(N58&lt;'[1]Расчет нормативных затрат'!J$2/3,2,1)))</f>
        <v>0</v>
      </c>
    </row>
    <row r="59" spans="1:16" x14ac:dyDescent="0.25">
      <c r="A59" s="93" t="s">
        <v>71</v>
      </c>
      <c r="B59" s="95" t="s">
        <v>102</v>
      </c>
      <c r="C59" s="93" t="s">
        <v>42</v>
      </c>
      <c r="D59" s="98">
        <v>36</v>
      </c>
      <c r="E59" s="98">
        <v>16</v>
      </c>
      <c r="F59" s="100">
        <v>2</v>
      </c>
      <c r="G59" s="100">
        <v>20</v>
      </c>
      <c r="H59" s="102">
        <v>75.63</v>
      </c>
      <c r="I59" s="4">
        <f>HLOOKUP($C59,'Параметры ПФ'!$F$8:$K$13,6,FALSE)</f>
        <v>78.58</v>
      </c>
      <c r="J59" s="4">
        <f t="shared" si="9"/>
        <v>2420.16</v>
      </c>
      <c r="K59" s="5">
        <f>IF(J59&lt;'Параметры ПФ'!J$3+0.01,'Стандартные программы'!J59,ROUNDDOWN('Параметры ПФ'!J$3/IF(H59=0,I59,IF(I59&gt;H59,H59,I59)),0)*IF(H59=0,I59,IF(I59&gt;H59,H59,I59)))</f>
        <v>2420.16</v>
      </c>
      <c r="L59" s="4">
        <f t="shared" si="10"/>
        <v>48403.199999999997</v>
      </c>
      <c r="M59" s="32">
        <f>IF(J59&lt;'Параметры ПФ'!J$3+0.01,E59*F59*G59,ROUNDDOWN('Параметры ПФ'!J$3/IF(H59=0,I59,IF(I59&gt;H59,H59,I59)),0)*G59)</f>
        <v>640</v>
      </c>
      <c r="N59" s="27">
        <f t="shared" si="11"/>
        <v>0</v>
      </c>
      <c r="P59" s="25">
        <f>IF(N59=0,0,IF(N59&gt;'[1]Расчет нормативных затрат'!J$2/2,0,IF(N59&lt;'[1]Расчет нормативных затрат'!J$2/3,2,1)))</f>
        <v>0</v>
      </c>
    </row>
    <row r="60" spans="1:16" x14ac:dyDescent="0.25">
      <c r="A60" s="93" t="s">
        <v>71</v>
      </c>
      <c r="B60" s="95" t="s">
        <v>103</v>
      </c>
      <c r="C60" s="93" t="s">
        <v>42</v>
      </c>
      <c r="D60" s="98">
        <v>36</v>
      </c>
      <c r="E60" s="98">
        <v>20</v>
      </c>
      <c r="F60" s="100">
        <v>4</v>
      </c>
      <c r="G60" s="100">
        <v>20</v>
      </c>
      <c r="H60" s="102">
        <v>75.63</v>
      </c>
      <c r="I60" s="4">
        <f>HLOOKUP($C60,'Параметры ПФ'!$F$8:$K$13,6,FALSE)</f>
        <v>78.58</v>
      </c>
      <c r="J60" s="4">
        <f t="shared" si="9"/>
        <v>6050.4</v>
      </c>
      <c r="K60" s="5">
        <f>IF(J60&lt;'Параметры ПФ'!J$3+0.01,'Стандартные программы'!J60,ROUNDDOWN('Параметры ПФ'!J$3/IF(H60=0,I60,IF(I60&gt;H60,H60,I60)),0)*IF(H60=0,I60,IF(I60&gt;H60,H60,I60)))</f>
        <v>6050.4</v>
      </c>
      <c r="L60" s="4">
        <f t="shared" si="10"/>
        <v>121008</v>
      </c>
      <c r="M60" s="32">
        <f>IF(J60&lt;'Параметры ПФ'!J$3+0.01,E60*F60*G60,ROUNDDOWN('Параметры ПФ'!J$3/IF(H60=0,I60,IF(I60&gt;H60,H60,I60)),0)*G60)</f>
        <v>1600</v>
      </c>
      <c r="N60" s="27">
        <f t="shared" si="11"/>
        <v>0</v>
      </c>
      <c r="P60" s="25">
        <f>IF(N60=0,0,IF(N60&gt;'[1]Расчет нормативных затрат'!J$2/2,0,IF(N60&lt;'[1]Расчет нормативных затрат'!J$2/3,2,1)))</f>
        <v>0</v>
      </c>
    </row>
    <row r="61" spans="1:16" x14ac:dyDescent="0.25">
      <c r="A61" s="93" t="s">
        <v>71</v>
      </c>
      <c r="B61" s="95" t="s">
        <v>103</v>
      </c>
      <c r="C61" s="93" t="s">
        <v>42</v>
      </c>
      <c r="D61" s="98">
        <v>36</v>
      </c>
      <c r="E61" s="98">
        <v>16</v>
      </c>
      <c r="F61" s="100">
        <v>4</v>
      </c>
      <c r="G61" s="100">
        <v>20</v>
      </c>
      <c r="H61" s="102">
        <v>75.63</v>
      </c>
      <c r="I61" s="4">
        <f>HLOOKUP($C61,'Параметры ПФ'!$F$8:$K$13,6,FALSE)</f>
        <v>78.58</v>
      </c>
      <c r="J61" s="4">
        <f t="shared" si="9"/>
        <v>4840.32</v>
      </c>
      <c r="K61" s="5">
        <f>IF(J61&lt;'Параметры ПФ'!J$3+0.01,'Стандартные программы'!J61,ROUNDDOWN('Параметры ПФ'!J$3/IF(H61=0,I61,IF(I61&gt;H61,H61,I61)),0)*IF(H61=0,I61,IF(I61&gt;H61,H61,I61)))</f>
        <v>4840.32</v>
      </c>
      <c r="L61" s="4">
        <f t="shared" si="10"/>
        <v>96806.399999999994</v>
      </c>
      <c r="M61" s="32">
        <f>IF(J61&lt;'Параметры ПФ'!J$3+0.01,E61*F61*G61,ROUNDDOWN('Параметры ПФ'!J$3/IF(H61=0,I61,IF(I61&gt;H61,H61,I61)),0)*G61)</f>
        <v>1280</v>
      </c>
      <c r="N61" s="27">
        <f t="shared" si="11"/>
        <v>0</v>
      </c>
      <c r="P61" s="25">
        <f>IF(N61=0,0,IF(N61&gt;'[1]Расчет нормативных затрат'!J$2/2,0,IF(N61&lt;'[1]Расчет нормативных затрат'!J$2/3,2,1)))</f>
        <v>0</v>
      </c>
    </row>
    <row r="62" spans="1:16" x14ac:dyDescent="0.25">
      <c r="A62" s="93" t="s">
        <v>71</v>
      </c>
      <c r="B62" s="95" t="s">
        <v>104</v>
      </c>
      <c r="C62" s="93" t="s">
        <v>42</v>
      </c>
      <c r="D62" s="98">
        <v>36</v>
      </c>
      <c r="E62" s="98">
        <v>20</v>
      </c>
      <c r="F62" s="100">
        <v>2</v>
      </c>
      <c r="G62" s="100">
        <v>20</v>
      </c>
      <c r="H62" s="102">
        <v>75.63</v>
      </c>
      <c r="I62" s="4">
        <f>HLOOKUP($C62,'Параметры ПФ'!$F$8:$K$13,6,FALSE)</f>
        <v>78.58</v>
      </c>
      <c r="J62" s="4">
        <f t="shared" si="9"/>
        <v>3025.2</v>
      </c>
      <c r="K62" s="5">
        <f>IF(J62&lt;'Параметры ПФ'!J$3+0.01,'Стандартные программы'!J62,ROUNDDOWN('Параметры ПФ'!J$3/IF(H62=0,I62,IF(I62&gt;H62,H62,I62)),0)*IF(H62=0,I62,IF(I62&gt;H62,H62,I62)))</f>
        <v>3025.2</v>
      </c>
      <c r="L62" s="4">
        <f t="shared" si="10"/>
        <v>60504</v>
      </c>
      <c r="M62" s="32">
        <f>IF(J62&lt;'Параметры ПФ'!J$3+0.01,E62*F62*G62,ROUNDDOWN('Параметры ПФ'!J$3/IF(H62=0,I62,IF(I62&gt;H62,H62,I62)),0)*G62)</f>
        <v>800</v>
      </c>
      <c r="N62" s="27">
        <f t="shared" si="11"/>
        <v>0</v>
      </c>
      <c r="P62" s="25">
        <f>IF(N62=0,0,IF(N62&gt;'[1]Расчет нормативных затрат'!J$2/2,0,IF(N62&lt;'[1]Расчет нормативных затрат'!J$2/3,2,1)))</f>
        <v>0</v>
      </c>
    </row>
    <row r="63" spans="1:16" x14ac:dyDescent="0.25">
      <c r="A63" s="93" t="s">
        <v>71</v>
      </c>
      <c r="B63" s="95" t="s">
        <v>104</v>
      </c>
      <c r="C63" s="93" t="s">
        <v>42</v>
      </c>
      <c r="D63" s="98">
        <v>36</v>
      </c>
      <c r="E63" s="98">
        <v>16</v>
      </c>
      <c r="F63" s="100">
        <v>2</v>
      </c>
      <c r="G63" s="100">
        <v>20</v>
      </c>
      <c r="H63" s="102">
        <v>75.63</v>
      </c>
      <c r="I63" s="4">
        <f>HLOOKUP($C63,'Параметры ПФ'!$F$8:$K$13,6,FALSE)</f>
        <v>78.58</v>
      </c>
      <c r="J63" s="4">
        <f t="shared" si="9"/>
        <v>2420.16</v>
      </c>
      <c r="K63" s="5">
        <f>IF(J63&lt;'Параметры ПФ'!J$3+0.01,'Стандартные программы'!J63,ROUNDDOWN('Параметры ПФ'!J$3/IF(H63=0,I63,IF(I63&gt;H63,H63,I63)),0)*IF(H63=0,I63,IF(I63&gt;H63,H63,I63)))</f>
        <v>2420.16</v>
      </c>
      <c r="L63" s="4">
        <f t="shared" si="10"/>
        <v>48403.199999999997</v>
      </c>
      <c r="M63" s="32">
        <f>IF(J63&lt;'Параметры ПФ'!J$3+0.01,E63*F63*G63,ROUNDDOWN('Параметры ПФ'!J$3/IF(H63=0,I63,IF(I63&gt;H63,H63,I63)),0)*G63)</f>
        <v>640</v>
      </c>
      <c r="N63" s="27">
        <f t="shared" si="11"/>
        <v>0</v>
      </c>
      <c r="P63" s="25">
        <f>IF(N63=0,0,IF(N63&gt;'[1]Расчет нормативных затрат'!J$2/2,0,IF(N63&lt;'[1]Расчет нормативных затрат'!J$2/3,2,1)))</f>
        <v>0</v>
      </c>
    </row>
    <row r="64" spans="1:16" x14ac:dyDescent="0.25">
      <c r="A64" s="93" t="s">
        <v>71</v>
      </c>
      <c r="B64" s="95" t="s">
        <v>105</v>
      </c>
      <c r="C64" s="93" t="s">
        <v>42</v>
      </c>
      <c r="D64" s="98">
        <v>36</v>
      </c>
      <c r="E64" s="98">
        <v>20</v>
      </c>
      <c r="F64" s="100">
        <v>2</v>
      </c>
      <c r="G64" s="100">
        <v>20</v>
      </c>
      <c r="H64" s="102">
        <v>75.63</v>
      </c>
      <c r="I64" s="4">
        <f>HLOOKUP($C64,'Параметры ПФ'!$F$8:$K$13,6,FALSE)</f>
        <v>78.58</v>
      </c>
      <c r="J64" s="4">
        <f t="shared" si="9"/>
        <v>3025.2</v>
      </c>
      <c r="K64" s="5">
        <f>IF(J64&lt;'Параметры ПФ'!J$3+0.01,'Стандартные программы'!J64,ROUNDDOWN('Параметры ПФ'!J$3/IF(H64=0,I64,IF(I64&gt;H64,H64,I64)),0)*IF(H64=0,I64,IF(I64&gt;H64,H64,I64)))</f>
        <v>3025.2</v>
      </c>
      <c r="L64" s="4">
        <f t="shared" si="10"/>
        <v>60504</v>
      </c>
      <c r="M64" s="32">
        <f>IF(J64&lt;'Параметры ПФ'!J$3+0.01,E64*F64*G64,ROUNDDOWN('Параметры ПФ'!J$3/IF(H64=0,I64,IF(I64&gt;H64,H64,I64)),0)*G64)</f>
        <v>800</v>
      </c>
      <c r="N64" s="27">
        <f t="shared" si="11"/>
        <v>0</v>
      </c>
      <c r="P64" s="25">
        <f>IF(N64=0,0,IF(N64&gt;'[1]Расчет нормативных затрат'!J$2/2,0,IF(N64&lt;'[1]Расчет нормативных затрат'!J$2/3,2,1)))</f>
        <v>0</v>
      </c>
    </row>
    <row r="65" spans="1:16" x14ac:dyDescent="0.25">
      <c r="A65" s="93" t="s">
        <v>71</v>
      </c>
      <c r="B65" s="95" t="s">
        <v>105</v>
      </c>
      <c r="C65" s="93" t="s">
        <v>42</v>
      </c>
      <c r="D65" s="98">
        <v>36</v>
      </c>
      <c r="E65" s="98">
        <v>16</v>
      </c>
      <c r="F65" s="100">
        <v>2</v>
      </c>
      <c r="G65" s="100">
        <v>20</v>
      </c>
      <c r="H65" s="102">
        <v>75.63</v>
      </c>
      <c r="I65" s="4">
        <f>HLOOKUP($C65,'Параметры ПФ'!$F$8:$K$13,6,FALSE)</f>
        <v>78.58</v>
      </c>
      <c r="J65" s="4">
        <f t="shared" si="9"/>
        <v>2420.16</v>
      </c>
      <c r="K65" s="5">
        <f>IF(J65&lt;'Параметры ПФ'!J$3+0.01,'Стандартные программы'!J65,ROUNDDOWN('Параметры ПФ'!J$3/IF(H65=0,I65,IF(I65&gt;H65,H65,I65)),0)*IF(H65=0,I65,IF(I65&gt;H65,H65,I65)))</f>
        <v>2420.16</v>
      </c>
      <c r="L65" s="4">
        <f t="shared" si="10"/>
        <v>48403.199999999997</v>
      </c>
      <c r="M65" s="32">
        <f>IF(J65&lt;'Параметры ПФ'!J$3+0.01,E65*F65*G65,ROUNDDOWN('Параметры ПФ'!J$3/IF(H65=0,I65,IF(I65&gt;H65,H65,I65)),0)*G65)</f>
        <v>640</v>
      </c>
      <c r="N65" s="27">
        <f t="shared" si="11"/>
        <v>0</v>
      </c>
      <c r="P65" s="25">
        <f>IF(N65=0,0,IF(N65&gt;'[1]Расчет нормативных затрат'!J$2/2,0,IF(N65&lt;'[1]Расчет нормативных затрат'!J$2/3,2,1)))</f>
        <v>0</v>
      </c>
    </row>
    <row r="66" spans="1:16" x14ac:dyDescent="0.25">
      <c r="A66" s="93" t="s">
        <v>71</v>
      </c>
      <c r="B66" s="95" t="s">
        <v>106</v>
      </c>
      <c r="C66" s="93" t="s">
        <v>42</v>
      </c>
      <c r="D66" s="98">
        <v>36</v>
      </c>
      <c r="E66" s="98">
        <v>20</v>
      </c>
      <c r="F66" s="100">
        <v>4</v>
      </c>
      <c r="G66" s="100">
        <v>20</v>
      </c>
      <c r="H66" s="102">
        <v>75.63</v>
      </c>
      <c r="I66" s="4">
        <f>HLOOKUP($C66,'Параметры ПФ'!$F$8:$K$13,6,FALSE)</f>
        <v>78.58</v>
      </c>
      <c r="J66" s="4">
        <f t="shared" si="9"/>
        <v>6050.4</v>
      </c>
      <c r="K66" s="5">
        <f>IF(J66&lt;'Параметры ПФ'!J$3+0.01,'Стандартные программы'!J66,ROUNDDOWN('Параметры ПФ'!J$3/IF(H66=0,I66,IF(I66&gt;H66,H66,I66)),0)*IF(H66=0,I66,IF(I66&gt;H66,H66,I66)))</f>
        <v>6050.4</v>
      </c>
      <c r="L66" s="4">
        <f t="shared" si="10"/>
        <v>121008</v>
      </c>
      <c r="M66" s="32">
        <f>IF(J66&lt;'Параметры ПФ'!J$3+0.01,E66*F66*G66,ROUNDDOWN('Параметры ПФ'!J$3/IF(H66=0,I66,IF(I66&gt;H66,H66,I66)),0)*G66)</f>
        <v>1600</v>
      </c>
      <c r="N66" s="27">
        <f t="shared" si="11"/>
        <v>0</v>
      </c>
      <c r="P66" s="25">
        <f>IF(N66=0,0,IF(N66&gt;'[1]Расчет нормативных затрат'!J$2/2,0,IF(N66&lt;'[1]Расчет нормативных затрат'!J$2/3,2,1)))</f>
        <v>0</v>
      </c>
    </row>
    <row r="67" spans="1:16" x14ac:dyDescent="0.25">
      <c r="A67" s="93" t="s">
        <v>71</v>
      </c>
      <c r="B67" s="95" t="s">
        <v>107</v>
      </c>
      <c r="C67" s="93" t="s">
        <v>42</v>
      </c>
      <c r="D67" s="98">
        <v>36</v>
      </c>
      <c r="E67" s="98">
        <v>16</v>
      </c>
      <c r="F67" s="100">
        <v>4</v>
      </c>
      <c r="G67" s="100">
        <v>20</v>
      </c>
      <c r="H67" s="102">
        <v>75.63</v>
      </c>
      <c r="I67" s="4">
        <f>HLOOKUP($C67,'Параметры ПФ'!$F$8:$K$13,6,FALSE)</f>
        <v>78.58</v>
      </c>
      <c r="J67" s="4">
        <f t="shared" si="9"/>
        <v>4840.32</v>
      </c>
      <c r="K67" s="5">
        <f>IF(J67&lt;'Параметры ПФ'!J$3+0.01,'Стандартные программы'!J67,ROUNDDOWN('Параметры ПФ'!J$3/IF(H67=0,I67,IF(I67&gt;H67,H67,I67)),0)*IF(H67=0,I67,IF(I67&gt;H67,H67,I67)))</f>
        <v>4840.32</v>
      </c>
      <c r="L67" s="4">
        <f t="shared" si="10"/>
        <v>96806.399999999994</v>
      </c>
      <c r="M67" s="32">
        <f>IF(J67&lt;'Параметры ПФ'!J$3+0.01,E67*F67*G67,ROUNDDOWN('Параметры ПФ'!J$3/IF(H67=0,I67,IF(I67&gt;H67,H67,I67)),0)*G67)</f>
        <v>1280</v>
      </c>
      <c r="N67" s="27">
        <f t="shared" si="11"/>
        <v>0</v>
      </c>
      <c r="P67" s="25">
        <f>IF(N67=0,0,IF(N67&gt;'[1]Расчет нормативных затрат'!J$2/2,0,IF(N67&lt;'[1]Расчет нормативных затрат'!J$2/3,2,1)))</f>
        <v>0</v>
      </c>
    </row>
    <row r="68" spans="1:16" x14ac:dyDescent="0.25">
      <c r="A68" s="94" t="s">
        <v>72</v>
      </c>
      <c r="B68" s="94" t="s">
        <v>108</v>
      </c>
      <c r="C68" s="94" t="s">
        <v>42</v>
      </c>
      <c r="D68" s="99">
        <v>36</v>
      </c>
      <c r="E68" s="99">
        <v>20</v>
      </c>
      <c r="F68" s="101">
        <v>2</v>
      </c>
      <c r="G68" s="101">
        <v>20</v>
      </c>
      <c r="H68" s="102">
        <v>75.63</v>
      </c>
      <c r="I68" s="4">
        <f>HLOOKUP($C68,'Параметры ПФ'!$F$8:$K$13,6,FALSE)</f>
        <v>78.58</v>
      </c>
      <c r="J68" s="4">
        <f t="shared" si="9"/>
        <v>3025.2</v>
      </c>
      <c r="K68" s="5">
        <f>IF(J68&lt;'Параметры ПФ'!J$3+0.01,'Стандартные программы'!J68,ROUNDDOWN('Параметры ПФ'!J$3/IF(H68=0,I68,IF(I68&gt;H68,H68,I68)),0)*IF(H68=0,I68,IF(I68&gt;H68,H68,I68)))</f>
        <v>3025.2</v>
      </c>
      <c r="L68" s="4">
        <f t="shared" si="10"/>
        <v>60504</v>
      </c>
      <c r="M68" s="32">
        <f>IF(J68&lt;'Параметры ПФ'!J$3+0.01,E68*F68*G68,ROUNDDOWN('Параметры ПФ'!J$3/IF(H68=0,I68,IF(I68&gt;H68,H68,I68)),0)*G68)</f>
        <v>800</v>
      </c>
      <c r="N68" s="27">
        <f t="shared" si="11"/>
        <v>0</v>
      </c>
      <c r="P68" s="25">
        <f>IF(N68=0,0,IF(N68&gt;'[1]Расчет нормативных затрат'!J$2/2,0,IF(N68&lt;'[1]Расчет нормативных затрат'!J$2/3,2,1)))</f>
        <v>0</v>
      </c>
    </row>
    <row r="69" spans="1:16" x14ac:dyDescent="0.25">
      <c r="A69" s="94" t="s">
        <v>72</v>
      </c>
      <c r="B69" s="94" t="s">
        <v>108</v>
      </c>
      <c r="C69" s="94" t="s">
        <v>42</v>
      </c>
      <c r="D69" s="99">
        <v>36</v>
      </c>
      <c r="E69" s="99">
        <v>20</v>
      </c>
      <c r="F69" s="101">
        <v>4</v>
      </c>
      <c r="G69" s="101">
        <v>20</v>
      </c>
      <c r="H69" s="102">
        <v>75.63</v>
      </c>
      <c r="I69" s="4">
        <f>HLOOKUP($C69,'Параметры ПФ'!$F$8:$K$13,6,FALSE)</f>
        <v>78.58</v>
      </c>
      <c r="J69" s="4">
        <f t="shared" si="9"/>
        <v>6050.4</v>
      </c>
      <c r="K69" s="5">
        <f>IF(J69&lt;'Параметры ПФ'!J$3+0.01,'Стандартные программы'!J69,ROUNDDOWN('Параметры ПФ'!J$3/IF(H69=0,I69,IF(I69&gt;H69,H69,I69)),0)*IF(H69=0,I69,IF(I69&gt;H69,H69,I69)))</f>
        <v>6050.4</v>
      </c>
      <c r="L69" s="4">
        <f t="shared" si="10"/>
        <v>121008</v>
      </c>
      <c r="M69" s="32">
        <f>IF(J69&lt;'Параметры ПФ'!J$3+0.01,E69*F69*G69,ROUNDDOWN('Параметры ПФ'!J$3/IF(H69=0,I69,IF(I69&gt;H69,H69,I69)),0)*G69)</f>
        <v>1600</v>
      </c>
      <c r="N69" s="27">
        <f t="shared" si="11"/>
        <v>0</v>
      </c>
      <c r="P69" s="25">
        <f>IF(N69=0,0,IF(N69&gt;'[1]Расчет нормативных затрат'!J$2/2,0,IF(N69&lt;'[1]Расчет нормативных затрат'!J$2/3,2,1)))</f>
        <v>0</v>
      </c>
    </row>
    <row r="70" spans="1:16" x14ac:dyDescent="0.25">
      <c r="A70" s="94" t="s">
        <v>72</v>
      </c>
      <c r="B70" s="96" t="s">
        <v>108</v>
      </c>
      <c r="C70" s="94" t="s">
        <v>42</v>
      </c>
      <c r="D70" s="99">
        <v>36</v>
      </c>
      <c r="E70" s="99">
        <v>16</v>
      </c>
      <c r="F70" s="101">
        <v>2</v>
      </c>
      <c r="G70" s="101">
        <v>20</v>
      </c>
      <c r="H70" s="102">
        <v>75.63</v>
      </c>
      <c r="I70" s="4">
        <f>HLOOKUP($C70,'Параметры ПФ'!$F$8:$K$13,6,FALSE)</f>
        <v>78.58</v>
      </c>
      <c r="J70" s="4">
        <f t="shared" si="9"/>
        <v>2420.16</v>
      </c>
      <c r="K70" s="5">
        <f>IF(J70&lt;'Параметры ПФ'!J$3+0.01,'Стандартные программы'!J70,ROUNDDOWN('Параметры ПФ'!J$3/IF(H70=0,I70,IF(I70&gt;H70,H70,I70)),0)*IF(H70=0,I70,IF(I70&gt;H70,H70,I70)))</f>
        <v>2420.16</v>
      </c>
      <c r="L70" s="4">
        <f t="shared" si="10"/>
        <v>48403.199999999997</v>
      </c>
      <c r="M70" s="32">
        <f>IF(J70&lt;'Параметры ПФ'!J$3+0.01,E70*F70*G70,ROUNDDOWN('Параметры ПФ'!J$3/IF(H70=0,I70,IF(I70&gt;H70,H70,I70)),0)*G70)</f>
        <v>640</v>
      </c>
      <c r="N70" s="27">
        <f t="shared" si="11"/>
        <v>0</v>
      </c>
      <c r="P70" s="25">
        <f>IF(N70=0,0,IF(N70&gt;'[1]Расчет нормативных затрат'!J$2/2,0,IF(N70&lt;'[1]Расчет нормативных затрат'!J$2/3,2,1)))</f>
        <v>0</v>
      </c>
    </row>
    <row r="71" spans="1:16" x14ac:dyDescent="0.25">
      <c r="A71" s="94" t="s">
        <v>72</v>
      </c>
      <c r="B71" s="94" t="s">
        <v>109</v>
      </c>
      <c r="C71" s="94" t="s">
        <v>42</v>
      </c>
      <c r="D71" s="99">
        <v>36</v>
      </c>
      <c r="E71" s="99">
        <v>16</v>
      </c>
      <c r="F71" s="101">
        <v>4</v>
      </c>
      <c r="G71" s="101">
        <v>20</v>
      </c>
      <c r="H71" s="102">
        <v>75.63</v>
      </c>
      <c r="I71" s="4">
        <f>HLOOKUP($C71,'Параметры ПФ'!$F$8:$K$13,6,FALSE)</f>
        <v>78.58</v>
      </c>
      <c r="J71" s="4">
        <f t="shared" si="9"/>
        <v>4840.32</v>
      </c>
      <c r="K71" s="5">
        <f>IF(J71&lt;'Параметры ПФ'!J$3+0.01,'Стандартные программы'!J71,ROUNDDOWN('Параметры ПФ'!J$3/IF(H71=0,I71,IF(I71&gt;H71,H71,I71)),0)*IF(H71=0,I71,IF(I71&gt;H71,H71,I71)))</f>
        <v>4840.32</v>
      </c>
      <c r="L71" s="4">
        <f t="shared" si="10"/>
        <v>96806.399999999994</v>
      </c>
      <c r="M71" s="32">
        <f>IF(J71&lt;'Параметры ПФ'!J$3+0.01,E71*F71*G71,ROUNDDOWN('Параметры ПФ'!J$3/IF(H71=0,I71,IF(I71&gt;H71,H71,I71)),0)*G71)</f>
        <v>1280</v>
      </c>
      <c r="N71" s="27">
        <f t="shared" si="11"/>
        <v>0</v>
      </c>
      <c r="P71" s="25">
        <f>IF(N71=0,0,IF(N71&gt;'[1]Расчет нормативных затрат'!J$2/2,0,IF(N71&lt;'[1]Расчет нормативных затрат'!J$2/3,2,1)))</f>
        <v>0</v>
      </c>
    </row>
    <row r="72" spans="1:16" x14ac:dyDescent="0.25">
      <c r="A72" s="94" t="s">
        <v>72</v>
      </c>
      <c r="B72" s="94" t="s">
        <v>110</v>
      </c>
      <c r="C72" s="94" t="s">
        <v>5</v>
      </c>
      <c r="D72" s="99">
        <v>36</v>
      </c>
      <c r="E72" s="99">
        <v>20</v>
      </c>
      <c r="F72" s="101">
        <v>2</v>
      </c>
      <c r="G72" s="101">
        <v>20</v>
      </c>
      <c r="H72" s="102">
        <v>75.63</v>
      </c>
      <c r="I72" s="4">
        <f>HLOOKUP($C72,'Параметры ПФ'!$F$8:$K$13,6,FALSE)</f>
        <v>77.97</v>
      </c>
      <c r="J72" s="4">
        <f t="shared" si="9"/>
        <v>3025.2</v>
      </c>
      <c r="K72" s="5">
        <f>IF(J72&lt;'Параметры ПФ'!J$3+0.01,'Стандартные программы'!J72,ROUNDDOWN('Параметры ПФ'!J$3/IF(H72=0,I72,IF(I72&gt;H72,H72,I72)),0)*IF(H72=0,I72,IF(I72&gt;H72,H72,I72)))</f>
        <v>3025.2</v>
      </c>
      <c r="L72" s="4">
        <f t="shared" si="10"/>
        <v>60504</v>
      </c>
      <c r="M72" s="32">
        <f>IF(J72&lt;'Параметры ПФ'!J$3+0.01,E72*F72*G72,ROUNDDOWN('Параметры ПФ'!J$3/IF(H72=0,I72,IF(I72&gt;H72,H72,I72)),0)*G72)</f>
        <v>800</v>
      </c>
      <c r="N72" s="27">
        <f t="shared" si="11"/>
        <v>0</v>
      </c>
      <c r="P72" s="25">
        <f>IF(N72=0,0,IF(N72&gt;'[1]Расчет нормативных затрат'!J$2/2,0,IF(N72&lt;'[1]Расчет нормативных затрат'!J$2/3,2,1)))</f>
        <v>0</v>
      </c>
    </row>
    <row r="73" spans="1:16" x14ac:dyDescent="0.25">
      <c r="A73" s="94" t="s">
        <v>72</v>
      </c>
      <c r="B73" s="94" t="s">
        <v>110</v>
      </c>
      <c r="C73" s="94" t="s">
        <v>5</v>
      </c>
      <c r="D73" s="99">
        <v>36</v>
      </c>
      <c r="E73" s="99">
        <v>20</v>
      </c>
      <c r="F73" s="101">
        <v>4</v>
      </c>
      <c r="G73" s="101">
        <v>20</v>
      </c>
      <c r="H73" s="102">
        <v>75.63</v>
      </c>
      <c r="I73" s="4">
        <f>HLOOKUP($C73,'Параметры ПФ'!$F$8:$K$13,6,FALSE)</f>
        <v>77.97</v>
      </c>
      <c r="J73" s="4">
        <f t="shared" si="9"/>
        <v>6050.4</v>
      </c>
      <c r="K73" s="5">
        <f>IF(J73&lt;'Параметры ПФ'!J$3+0.01,'Стандартные программы'!J73,ROUNDDOWN('Параметры ПФ'!J$3/IF(H73=0,I73,IF(I73&gt;H73,H73,I73)),0)*IF(H73=0,I73,IF(I73&gt;H73,H73,I73)))</f>
        <v>6050.4</v>
      </c>
      <c r="L73" s="4">
        <f t="shared" si="10"/>
        <v>121008</v>
      </c>
      <c r="M73" s="32">
        <f>IF(J73&lt;'Параметры ПФ'!J$3+0.01,E73*F73*G73,ROUNDDOWN('Параметры ПФ'!J$3/IF(H73=0,I73,IF(I73&gt;H73,H73,I73)),0)*G73)</f>
        <v>1600</v>
      </c>
      <c r="N73" s="27">
        <f t="shared" si="11"/>
        <v>0</v>
      </c>
      <c r="P73" s="25">
        <f>IF(N73=0,0,IF(N73&gt;'[1]Расчет нормативных затрат'!J$2/2,0,IF(N73&lt;'[1]Расчет нормативных затрат'!J$2/3,2,1)))</f>
        <v>0</v>
      </c>
    </row>
    <row r="74" spans="1:16" x14ac:dyDescent="0.25">
      <c r="A74" s="94" t="s">
        <v>72</v>
      </c>
      <c r="B74" s="94" t="s">
        <v>110</v>
      </c>
      <c r="C74" s="94" t="s">
        <v>5</v>
      </c>
      <c r="D74" s="99">
        <v>36</v>
      </c>
      <c r="E74" s="99">
        <v>16</v>
      </c>
      <c r="F74" s="101">
        <v>2</v>
      </c>
      <c r="G74" s="101">
        <v>20</v>
      </c>
      <c r="H74" s="102">
        <v>75.63</v>
      </c>
      <c r="I74" s="4">
        <f>HLOOKUP($C74,'Параметры ПФ'!$F$8:$K$13,6,FALSE)</f>
        <v>77.97</v>
      </c>
      <c r="J74" s="4">
        <f t="shared" si="9"/>
        <v>2420.16</v>
      </c>
      <c r="K74" s="5">
        <f>IF(J74&lt;'Параметры ПФ'!J$3+0.01,'Стандартные программы'!J74,ROUNDDOWN('Параметры ПФ'!J$3/IF(H74=0,I74,IF(I74&gt;H74,H74,I74)),0)*IF(H74=0,I74,IF(I74&gt;H74,H74,I74)))</f>
        <v>2420.16</v>
      </c>
      <c r="L74" s="4">
        <f t="shared" si="10"/>
        <v>48403.199999999997</v>
      </c>
      <c r="M74" s="32">
        <f>IF(J74&lt;'Параметры ПФ'!J$3+0.01,E74*F74*G74,ROUNDDOWN('Параметры ПФ'!J$3/IF(H74=0,I74,IF(I74&gt;H74,H74,I74)),0)*G74)</f>
        <v>640</v>
      </c>
      <c r="N74" s="27">
        <f t="shared" si="11"/>
        <v>0</v>
      </c>
      <c r="P74" s="25">
        <f>IF(N74=0,0,IF(N74&gt;'[1]Расчет нормативных затрат'!J$2/2,0,IF(N74&lt;'[1]Расчет нормативных затрат'!J$2/3,2,1)))</f>
        <v>0</v>
      </c>
    </row>
    <row r="75" spans="1:16" x14ac:dyDescent="0.25">
      <c r="A75" s="94" t="s">
        <v>72</v>
      </c>
      <c r="B75" s="94" t="s">
        <v>110</v>
      </c>
      <c r="C75" s="94" t="s">
        <v>5</v>
      </c>
      <c r="D75" s="99">
        <v>36</v>
      </c>
      <c r="E75" s="99">
        <v>16</v>
      </c>
      <c r="F75" s="101">
        <v>4</v>
      </c>
      <c r="G75" s="101">
        <v>20</v>
      </c>
      <c r="H75" s="102">
        <v>75.63</v>
      </c>
      <c r="I75" s="4">
        <f>HLOOKUP($C75,'Параметры ПФ'!$F$8:$K$13,6,FALSE)</f>
        <v>77.97</v>
      </c>
      <c r="J75" s="4">
        <f t="shared" si="9"/>
        <v>4840.32</v>
      </c>
      <c r="K75" s="5">
        <f>IF(J75&lt;'Параметры ПФ'!J$3+0.01,'Стандартные программы'!J75,ROUNDDOWN('Параметры ПФ'!J$3/IF(H75=0,I75,IF(I75&gt;H75,H75,I75)),0)*IF(H75=0,I75,IF(I75&gt;H75,H75,I75)))</f>
        <v>4840.32</v>
      </c>
      <c r="L75" s="4">
        <f t="shared" si="10"/>
        <v>96806.399999999994</v>
      </c>
      <c r="M75" s="32">
        <f>IF(J75&lt;'Параметры ПФ'!J$3+0.01,E75*F75*G75,ROUNDDOWN('Параметры ПФ'!J$3/IF(H75=0,I75,IF(I75&gt;H75,H75,I75)),0)*G75)</f>
        <v>1280</v>
      </c>
      <c r="N75" s="27">
        <f t="shared" si="11"/>
        <v>0</v>
      </c>
      <c r="P75" s="25">
        <f>IF(N75=0,0,IF(N75&gt;'[1]Расчет нормативных затрат'!J$2/2,0,IF(N75&lt;'[1]Расчет нормативных затрат'!J$2/3,2,1)))</f>
        <v>0</v>
      </c>
    </row>
    <row r="76" spans="1:16" x14ac:dyDescent="0.25">
      <c r="A76" s="94" t="s">
        <v>72</v>
      </c>
      <c r="B76" s="94" t="s">
        <v>111</v>
      </c>
      <c r="C76" s="94" t="s">
        <v>5</v>
      </c>
      <c r="D76" s="99">
        <v>36</v>
      </c>
      <c r="E76" s="99">
        <v>20</v>
      </c>
      <c r="F76" s="101">
        <v>2</v>
      </c>
      <c r="G76" s="101">
        <v>9</v>
      </c>
      <c r="H76" s="102">
        <v>75.63</v>
      </c>
      <c r="I76" s="4">
        <f>HLOOKUP($C76,'Параметры ПФ'!$F$8:$K$13,6,FALSE)</f>
        <v>77.97</v>
      </c>
      <c r="J76" s="4">
        <f t="shared" si="9"/>
        <v>3025.2</v>
      </c>
      <c r="K76" s="5">
        <f>IF(J76&lt;'Параметры ПФ'!J$3+0.01,'Стандартные программы'!J76,ROUNDDOWN('Параметры ПФ'!J$3/IF(H76=0,I76,IF(I76&gt;H76,H76,I76)),0)*IF(H76=0,I76,IF(I76&gt;H76,H76,I76)))</f>
        <v>3025.2</v>
      </c>
      <c r="L76" s="4">
        <f t="shared" si="10"/>
        <v>27226.799999999999</v>
      </c>
      <c r="M76" s="32">
        <f>IF(J76&lt;'Параметры ПФ'!J$3+0.01,E76*F76*G76,ROUNDDOWN('Параметры ПФ'!J$3/IF(H76=0,I76,IF(I76&gt;H76,H76,I76)),0)*G76)</f>
        <v>360</v>
      </c>
      <c r="N76" s="27">
        <f t="shared" si="11"/>
        <v>0</v>
      </c>
      <c r="P76" s="25">
        <f>IF(N76=0,0,IF(N76&gt;'[1]Расчет нормативных затрат'!J$2/2,0,IF(N76&lt;'[1]Расчет нормативных затрат'!J$2/3,2,1)))</f>
        <v>0</v>
      </c>
    </row>
    <row r="77" spans="1:16" x14ac:dyDescent="0.25">
      <c r="A77" s="94" t="s">
        <v>72</v>
      </c>
      <c r="B77" s="94" t="s">
        <v>111</v>
      </c>
      <c r="C77" s="94" t="s">
        <v>5</v>
      </c>
      <c r="D77" s="99">
        <v>36</v>
      </c>
      <c r="E77" s="99">
        <v>20</v>
      </c>
      <c r="F77" s="101">
        <v>2</v>
      </c>
      <c r="G77" s="101">
        <v>9</v>
      </c>
      <c r="H77" s="102">
        <v>75.63</v>
      </c>
      <c r="I77" s="4">
        <f>HLOOKUP($C77,'Параметры ПФ'!$F$8:$K$13,6,FALSE)</f>
        <v>77.97</v>
      </c>
      <c r="J77" s="4">
        <f t="shared" si="9"/>
        <v>3025.2</v>
      </c>
      <c r="K77" s="5">
        <f>IF(J77&lt;'Параметры ПФ'!J$3+0.01,'Стандартные программы'!J77,ROUNDDOWN('Параметры ПФ'!J$3/IF(H77=0,I77,IF(I77&gt;H77,H77,I77)),0)*IF(H77=0,I77,IF(I77&gt;H77,H77,I77)))</f>
        <v>3025.2</v>
      </c>
      <c r="L77" s="4">
        <f t="shared" si="10"/>
        <v>27226.799999999999</v>
      </c>
      <c r="M77" s="32">
        <f>IF(J77&lt;'Параметры ПФ'!J$3+0.01,E77*F77*G77,ROUNDDOWN('Параметры ПФ'!J$3/IF(H77=0,I77,IF(I77&gt;H77,H77,I77)),0)*G77)</f>
        <v>360</v>
      </c>
      <c r="N77" s="27">
        <f t="shared" si="11"/>
        <v>0</v>
      </c>
      <c r="P77" s="25">
        <f>IF(N77=0,0,IF(N77&gt;'[1]Расчет нормативных затрат'!J$2/2,0,IF(N77&lt;'[1]Расчет нормативных затрат'!J$2/3,2,1)))</f>
        <v>0</v>
      </c>
    </row>
    <row r="78" spans="1:16" x14ac:dyDescent="0.25">
      <c r="A78" s="94" t="s">
        <v>72</v>
      </c>
      <c r="B78" s="94" t="s">
        <v>111</v>
      </c>
      <c r="C78" s="94" t="s">
        <v>5</v>
      </c>
      <c r="D78" s="99">
        <v>36</v>
      </c>
      <c r="E78" s="99">
        <v>20</v>
      </c>
      <c r="F78" s="101">
        <v>2</v>
      </c>
      <c r="G78" s="101">
        <v>9</v>
      </c>
      <c r="H78" s="102">
        <v>75.63</v>
      </c>
      <c r="I78" s="4">
        <f>HLOOKUP($C78,'Параметры ПФ'!$F$8:$K$13,6,FALSE)</f>
        <v>77.97</v>
      </c>
      <c r="J78" s="4">
        <f t="shared" si="9"/>
        <v>3025.2</v>
      </c>
      <c r="K78" s="5">
        <f>IF(J78&lt;'Параметры ПФ'!J$3+0.01,'Стандартные программы'!J78,ROUNDDOWN('Параметры ПФ'!J$3/IF(H78=0,I78,IF(I78&gt;H78,H78,I78)),0)*IF(H78=0,I78,IF(I78&gt;H78,H78,I78)))</f>
        <v>3025.2</v>
      </c>
      <c r="L78" s="4">
        <f t="shared" si="10"/>
        <v>27226.799999999999</v>
      </c>
      <c r="M78" s="32">
        <f>IF(J78&lt;'Параметры ПФ'!J$3+0.01,E78*F78*G78,ROUNDDOWN('Параметры ПФ'!J$3/IF(H78=0,I78,IF(I78&gt;H78,H78,I78)),0)*G78)</f>
        <v>360</v>
      </c>
      <c r="N78" s="27">
        <f t="shared" si="11"/>
        <v>0</v>
      </c>
      <c r="P78" s="25">
        <f>IF(N78=0,0,IF(N78&gt;'[1]Расчет нормативных затрат'!J$2/2,0,IF(N78&lt;'[1]Расчет нормативных затрат'!J$2/3,2,1)))</f>
        <v>0</v>
      </c>
    </row>
    <row r="79" spans="1:16" x14ac:dyDescent="0.25">
      <c r="A79" s="94" t="s">
        <v>72</v>
      </c>
      <c r="B79" s="94" t="s">
        <v>111</v>
      </c>
      <c r="C79" s="94" t="s">
        <v>5</v>
      </c>
      <c r="D79" s="99">
        <v>36</v>
      </c>
      <c r="E79" s="99">
        <v>16</v>
      </c>
      <c r="F79" s="101">
        <v>2</v>
      </c>
      <c r="G79" s="101">
        <v>9</v>
      </c>
      <c r="H79" s="102">
        <v>75.63</v>
      </c>
      <c r="I79" s="4">
        <f>HLOOKUP($C79,'Параметры ПФ'!$F$8:$K$13,6,FALSE)</f>
        <v>77.97</v>
      </c>
      <c r="J79" s="4">
        <f t="shared" si="9"/>
        <v>2420.16</v>
      </c>
      <c r="K79" s="5">
        <f>IF(J79&lt;'Параметры ПФ'!J$3+0.01,'Стандартные программы'!J79,ROUNDDOWN('Параметры ПФ'!J$3/IF(H79=0,I79,IF(I79&gt;H79,H79,I79)),0)*IF(H79=0,I79,IF(I79&gt;H79,H79,I79)))</f>
        <v>2420.16</v>
      </c>
      <c r="L79" s="4">
        <f t="shared" si="10"/>
        <v>21781.439999999999</v>
      </c>
      <c r="M79" s="32">
        <f>IF(J79&lt;'Параметры ПФ'!J$3+0.01,E79*F79*G79,ROUNDDOWN('Параметры ПФ'!J$3/IF(H79=0,I79,IF(I79&gt;H79,H79,I79)),0)*G79)</f>
        <v>288</v>
      </c>
      <c r="N79" s="27">
        <f t="shared" si="11"/>
        <v>0</v>
      </c>
      <c r="P79" s="25">
        <f>IF(N79=0,0,IF(N79&gt;'[1]Расчет нормативных затрат'!J$2/2,0,IF(N79&lt;'[1]Расчет нормативных затрат'!J$2/3,2,1)))</f>
        <v>0</v>
      </c>
    </row>
    <row r="80" spans="1:16" x14ac:dyDescent="0.25">
      <c r="A80" s="94" t="s">
        <v>72</v>
      </c>
      <c r="B80" s="94" t="s">
        <v>111</v>
      </c>
      <c r="C80" s="94" t="s">
        <v>5</v>
      </c>
      <c r="D80" s="99">
        <v>36</v>
      </c>
      <c r="E80" s="99">
        <v>16</v>
      </c>
      <c r="F80" s="101">
        <v>2</v>
      </c>
      <c r="G80" s="101">
        <v>9</v>
      </c>
      <c r="H80" s="102">
        <v>75.63</v>
      </c>
      <c r="I80" s="4">
        <f>HLOOKUP($C80,'Параметры ПФ'!$F$8:$K$13,6,FALSE)</f>
        <v>77.97</v>
      </c>
      <c r="J80" s="4">
        <f t="shared" si="9"/>
        <v>2420.16</v>
      </c>
      <c r="K80" s="5">
        <f>IF(J80&lt;'Параметры ПФ'!J$3+0.01,'Стандартные программы'!J80,ROUNDDOWN('Параметры ПФ'!J$3/IF(H80=0,I80,IF(I80&gt;H80,H80,I80)),0)*IF(H80=0,I80,IF(I80&gt;H80,H80,I80)))</f>
        <v>2420.16</v>
      </c>
      <c r="L80" s="4">
        <f t="shared" si="10"/>
        <v>21781.439999999999</v>
      </c>
      <c r="M80" s="32">
        <f>IF(J80&lt;'Параметры ПФ'!J$3+0.01,E80*F80*G80,ROUNDDOWN('Параметры ПФ'!J$3/IF(H80=0,I80,IF(I80&gt;H80,H80,I80)),0)*G80)</f>
        <v>288</v>
      </c>
      <c r="N80" s="27">
        <f t="shared" si="11"/>
        <v>0</v>
      </c>
      <c r="P80" s="25">
        <f>IF(N80=0,0,IF(N80&gt;'[1]Расчет нормативных затрат'!J$2/2,0,IF(N80&lt;'[1]Расчет нормативных затрат'!J$2/3,2,1)))</f>
        <v>0</v>
      </c>
    </row>
    <row r="81" spans="1:16" x14ac:dyDescent="0.25">
      <c r="A81" s="94" t="s">
        <v>72</v>
      </c>
      <c r="B81" s="94" t="s">
        <v>111</v>
      </c>
      <c r="C81" s="94" t="s">
        <v>5</v>
      </c>
      <c r="D81" s="99">
        <v>36</v>
      </c>
      <c r="E81" s="99">
        <v>16</v>
      </c>
      <c r="F81" s="101">
        <v>2</v>
      </c>
      <c r="G81" s="101">
        <v>9</v>
      </c>
      <c r="H81" s="102">
        <v>75.63</v>
      </c>
      <c r="I81" s="4">
        <f>HLOOKUP($C81,'Параметры ПФ'!$F$8:$K$13,6,FALSE)</f>
        <v>77.97</v>
      </c>
      <c r="J81" s="4">
        <f t="shared" si="9"/>
        <v>2420.16</v>
      </c>
      <c r="K81" s="5">
        <f>IF(J81&lt;'Параметры ПФ'!J$3+0.01,'Стандартные программы'!J81,ROUNDDOWN('Параметры ПФ'!J$3/IF(H81=0,I81,IF(I81&gt;H81,H81,I81)),0)*IF(H81=0,I81,IF(I81&gt;H81,H81,I81)))</f>
        <v>2420.16</v>
      </c>
      <c r="L81" s="4">
        <f t="shared" si="10"/>
        <v>21781.439999999999</v>
      </c>
      <c r="M81" s="32">
        <f>IF(J81&lt;'Параметры ПФ'!J$3+0.01,E81*F81*G81,ROUNDDOWN('Параметры ПФ'!J$3/IF(H81=0,I81,IF(I81&gt;H81,H81,I81)),0)*G81)</f>
        <v>288</v>
      </c>
      <c r="N81" s="27">
        <f t="shared" si="11"/>
        <v>0</v>
      </c>
      <c r="P81" s="25">
        <f>IF(N81=0,0,IF(N81&gt;'[1]Расчет нормативных затрат'!J$2/2,0,IF(N81&lt;'[1]Расчет нормативных затрат'!J$2/3,2,1)))</f>
        <v>0</v>
      </c>
    </row>
    <row r="82" spans="1:16" x14ac:dyDescent="0.25">
      <c r="A82" s="94" t="s">
        <v>72</v>
      </c>
      <c r="B82" s="94" t="s">
        <v>112</v>
      </c>
      <c r="C82" s="94" t="s">
        <v>3</v>
      </c>
      <c r="D82" s="99">
        <v>36</v>
      </c>
      <c r="E82" s="99">
        <v>20</v>
      </c>
      <c r="F82" s="101">
        <v>4</v>
      </c>
      <c r="G82" s="101">
        <v>15</v>
      </c>
      <c r="H82" s="102">
        <v>75.63</v>
      </c>
      <c r="I82" s="4">
        <f>HLOOKUP($C82,'Параметры ПФ'!$F$8:$K$13,6,FALSE)</f>
        <v>77.97</v>
      </c>
      <c r="J82" s="4">
        <f t="shared" si="6"/>
        <v>6050.4</v>
      </c>
      <c r="K82" s="5">
        <f>IF(J82&lt;'Параметры ПФ'!J$3+0.01,'Стандартные программы'!J82,ROUNDDOWN('Параметры ПФ'!J$3/IF(H82=0,I82,IF(I82&gt;H82,H82,I82)),0)*IF(H82=0,I82,IF(I82&gt;H82,H82,I82)))</f>
        <v>6050.4</v>
      </c>
      <c r="L82" s="4">
        <f t="shared" si="7"/>
        <v>90756</v>
      </c>
      <c r="M82" s="32">
        <f>IF(J82&lt;'Параметры ПФ'!J$3+0.01,E82*F82*G82,ROUNDDOWN('Параметры ПФ'!J$3/IF(H82=0,I82,IF(I82&gt;H82,H82,I82)),0)*G82)</f>
        <v>1200</v>
      </c>
      <c r="N82" s="27">
        <f t="shared" si="8"/>
        <v>0</v>
      </c>
      <c r="P82" s="25">
        <f>IF(N82=0,0,IF(N82&gt;'[1]Расчет нормативных затрат'!J$2/2,0,IF(N82&lt;'[1]Расчет нормативных затрат'!J$2/3,2,1)))</f>
        <v>0</v>
      </c>
    </row>
    <row r="83" spans="1:16" x14ac:dyDescent="0.25">
      <c r="A83" s="94" t="s">
        <v>72</v>
      </c>
      <c r="B83" s="94" t="s">
        <v>112</v>
      </c>
      <c r="C83" s="94" t="s">
        <v>3</v>
      </c>
      <c r="D83" s="99">
        <v>36</v>
      </c>
      <c r="E83" s="99">
        <v>16</v>
      </c>
      <c r="F83" s="101">
        <v>4</v>
      </c>
      <c r="G83" s="101">
        <v>15</v>
      </c>
      <c r="H83" s="102">
        <v>75.63</v>
      </c>
      <c r="I83" s="4">
        <f>HLOOKUP($C83,'Параметры ПФ'!$F$8:$K$13,6,FALSE)</f>
        <v>77.97</v>
      </c>
      <c r="J83" s="4">
        <f t="shared" si="6"/>
        <v>4840.32</v>
      </c>
      <c r="K83" s="5">
        <f>IF(J83&lt;'Параметры ПФ'!J$3+0.01,'Стандартные программы'!J83,ROUNDDOWN('Параметры ПФ'!J$3/IF(H83=0,I83,IF(I83&gt;H83,H83,I83)),0)*IF(H83=0,I83,IF(I83&gt;H83,H83,I83)))</f>
        <v>4840.32</v>
      </c>
      <c r="L83" s="4">
        <f t="shared" si="7"/>
        <v>72604.800000000003</v>
      </c>
      <c r="M83" s="32">
        <f>IF(J83&lt;'Параметры ПФ'!J$3+0.01,E83*F83*G83,ROUNDDOWN('Параметры ПФ'!J$3/IF(H83=0,I83,IF(I83&gt;H83,H83,I83)),0)*G83)</f>
        <v>960</v>
      </c>
      <c r="N83" s="27">
        <f t="shared" si="8"/>
        <v>0</v>
      </c>
      <c r="P83" s="25">
        <f>IF(N83=0,0,IF(N83&gt;'[1]Расчет нормативных затрат'!J$2/2,0,IF(N83&lt;'[1]Расчет нормативных затрат'!J$2/3,2,1)))</f>
        <v>0</v>
      </c>
    </row>
    <row r="84" spans="1:16" x14ac:dyDescent="0.25">
      <c r="A84" s="94" t="s">
        <v>72</v>
      </c>
      <c r="B84" s="94" t="s">
        <v>113</v>
      </c>
      <c r="C84" s="94" t="s">
        <v>42</v>
      </c>
      <c r="D84" s="99">
        <v>36</v>
      </c>
      <c r="E84" s="99">
        <v>20</v>
      </c>
      <c r="F84" s="101">
        <v>2</v>
      </c>
      <c r="G84" s="101">
        <v>15</v>
      </c>
      <c r="H84" s="102">
        <v>75.63</v>
      </c>
      <c r="I84" s="4">
        <f>HLOOKUP($C84,'Параметры ПФ'!$F$8:$K$13,6,FALSE)</f>
        <v>78.58</v>
      </c>
      <c r="J84" s="4">
        <f t="shared" si="6"/>
        <v>3025.2</v>
      </c>
      <c r="K84" s="5">
        <f>IF(J84&lt;'Параметры ПФ'!J$3+0.01,'Стандартные программы'!J84,ROUNDDOWN('Параметры ПФ'!J$3/IF(H84=0,I84,IF(I84&gt;H84,H84,I84)),0)*IF(H84=0,I84,IF(I84&gt;H84,H84,I84)))</f>
        <v>3025.2</v>
      </c>
      <c r="L84" s="4">
        <f t="shared" si="7"/>
        <v>45378</v>
      </c>
      <c r="M84" s="32">
        <f>IF(J84&lt;'Параметры ПФ'!J$3+0.01,E84*F84*G84,ROUNDDOWN('Параметры ПФ'!J$3/IF(H84=0,I84,IF(I84&gt;H84,H84,I84)),0)*G84)</f>
        <v>600</v>
      </c>
      <c r="N84" s="27">
        <f t="shared" si="8"/>
        <v>0</v>
      </c>
      <c r="P84" s="25">
        <f>IF(N84=0,0,IF(N84&gt;'[1]Расчет нормативных затрат'!J$2/2,0,IF(N84&lt;'[1]Расчет нормативных затрат'!J$2/3,2,1)))</f>
        <v>0</v>
      </c>
    </row>
    <row r="85" spans="1:16" x14ac:dyDescent="0.25">
      <c r="A85" s="94" t="s">
        <v>72</v>
      </c>
      <c r="B85" s="94" t="s">
        <v>113</v>
      </c>
      <c r="C85" s="94" t="s">
        <v>42</v>
      </c>
      <c r="D85" s="99">
        <v>36</v>
      </c>
      <c r="E85" s="99">
        <v>20</v>
      </c>
      <c r="F85" s="101">
        <v>4</v>
      </c>
      <c r="G85" s="101">
        <v>15</v>
      </c>
      <c r="H85" s="102">
        <v>75.63</v>
      </c>
      <c r="I85" s="4">
        <f>HLOOKUP($C85,'Параметры ПФ'!$F$8:$K$13,6,FALSE)</f>
        <v>78.58</v>
      </c>
      <c r="J85" s="4">
        <f t="shared" si="6"/>
        <v>6050.4</v>
      </c>
      <c r="K85" s="5">
        <f>IF(J85&lt;'Параметры ПФ'!J$3+0.01,'Стандартные программы'!J85,ROUNDDOWN('Параметры ПФ'!J$3/IF(H85=0,I85,IF(I85&gt;H85,H85,I85)),0)*IF(H85=0,I85,IF(I85&gt;H85,H85,I85)))</f>
        <v>6050.4</v>
      </c>
      <c r="L85" s="4">
        <f t="shared" si="7"/>
        <v>90756</v>
      </c>
      <c r="M85" s="32">
        <f>IF(J85&lt;'Параметры ПФ'!J$3+0.01,E85*F85*G85,ROUNDDOWN('Параметры ПФ'!J$3/IF(H85=0,I85,IF(I85&gt;H85,H85,I85)),0)*G85)</f>
        <v>1200</v>
      </c>
      <c r="N85" s="27">
        <f t="shared" si="8"/>
        <v>0</v>
      </c>
      <c r="P85" s="25">
        <f>IF(N85=0,0,IF(N85&gt;'[1]Расчет нормативных затрат'!J$2/2,0,IF(N85&lt;'[1]Расчет нормативных затрат'!J$2/3,2,1)))</f>
        <v>0</v>
      </c>
    </row>
    <row r="86" spans="1:16" x14ac:dyDescent="0.25">
      <c r="A86" s="94" t="s">
        <v>72</v>
      </c>
      <c r="B86" s="94" t="s">
        <v>113</v>
      </c>
      <c r="C86" s="94" t="s">
        <v>42</v>
      </c>
      <c r="D86" s="99">
        <v>36</v>
      </c>
      <c r="E86" s="99">
        <v>16</v>
      </c>
      <c r="F86" s="101">
        <v>2</v>
      </c>
      <c r="G86" s="101">
        <v>15</v>
      </c>
      <c r="H86" s="102">
        <v>75.63</v>
      </c>
      <c r="I86" s="4">
        <f>HLOOKUP($C86,'Параметры ПФ'!$F$8:$K$13,6,FALSE)</f>
        <v>78.58</v>
      </c>
      <c r="J86" s="4">
        <f t="shared" si="6"/>
        <v>2420.16</v>
      </c>
      <c r="K86" s="5">
        <f>IF(J86&lt;'Параметры ПФ'!J$3+0.01,'Стандартные программы'!J86,ROUNDDOWN('Параметры ПФ'!J$3/IF(H86=0,I86,IF(I86&gt;H86,H86,I86)),0)*IF(H86=0,I86,IF(I86&gt;H86,H86,I86)))</f>
        <v>2420.16</v>
      </c>
      <c r="L86" s="4">
        <f t="shared" si="7"/>
        <v>36302.400000000001</v>
      </c>
      <c r="M86" s="32">
        <f>IF(J86&lt;'Параметры ПФ'!J$3+0.01,E86*F86*G86,ROUNDDOWN('Параметры ПФ'!J$3/IF(H86=0,I86,IF(I86&gt;H86,H86,I86)),0)*G86)</f>
        <v>480</v>
      </c>
      <c r="N86" s="27">
        <f t="shared" si="8"/>
        <v>0</v>
      </c>
      <c r="P86" s="25">
        <f>IF(N86=0,0,IF(N86&gt;'[1]Расчет нормативных затрат'!J$2/2,0,IF(N86&lt;'[1]Расчет нормативных затрат'!J$2/3,2,1)))</f>
        <v>0</v>
      </c>
    </row>
    <row r="87" spans="1:16" x14ac:dyDescent="0.25">
      <c r="A87" s="94" t="s">
        <v>72</v>
      </c>
      <c r="B87" s="94" t="s">
        <v>113</v>
      </c>
      <c r="C87" s="94" t="s">
        <v>42</v>
      </c>
      <c r="D87" s="99">
        <v>36</v>
      </c>
      <c r="E87" s="99">
        <v>16</v>
      </c>
      <c r="F87" s="101">
        <v>4</v>
      </c>
      <c r="G87" s="101">
        <v>15</v>
      </c>
      <c r="H87" s="102">
        <v>75.63</v>
      </c>
      <c r="I87" s="4">
        <f>HLOOKUP($C87,'Параметры ПФ'!$F$8:$K$13,6,FALSE)</f>
        <v>78.58</v>
      </c>
      <c r="J87" s="4">
        <f t="shared" si="6"/>
        <v>4840.32</v>
      </c>
      <c r="K87" s="5">
        <f>IF(J87&lt;'Параметры ПФ'!J$3+0.01,'Стандартные программы'!J87,ROUNDDOWN('Параметры ПФ'!J$3/IF(H87=0,I87,IF(I87&gt;H87,H87,I87)),0)*IF(H87=0,I87,IF(I87&gt;H87,H87,I87)))</f>
        <v>4840.32</v>
      </c>
      <c r="L87" s="4">
        <f t="shared" si="7"/>
        <v>72604.800000000003</v>
      </c>
      <c r="M87" s="32">
        <f>IF(J87&lt;'Параметры ПФ'!J$3+0.01,E87*F87*G87,ROUNDDOWN('Параметры ПФ'!J$3/IF(H87=0,I87,IF(I87&gt;H87,H87,I87)),0)*G87)</f>
        <v>960</v>
      </c>
      <c r="N87" s="27">
        <f t="shared" si="8"/>
        <v>0</v>
      </c>
      <c r="P87" s="25">
        <f>IF(N87=0,0,IF(N87&gt;'[1]Расчет нормативных затрат'!J$2/2,0,IF(N87&lt;'[1]Расчет нормативных затрат'!J$2/3,2,1)))</f>
        <v>0</v>
      </c>
    </row>
    <row r="88" spans="1:16" x14ac:dyDescent="0.25">
      <c r="A88" s="94" t="s">
        <v>72</v>
      </c>
      <c r="B88" s="94" t="s">
        <v>114</v>
      </c>
      <c r="C88" s="94" t="s">
        <v>42</v>
      </c>
      <c r="D88" s="99">
        <v>36</v>
      </c>
      <c r="E88" s="99">
        <v>20</v>
      </c>
      <c r="F88" s="101">
        <v>2</v>
      </c>
      <c r="G88" s="101">
        <v>15</v>
      </c>
      <c r="H88" s="102">
        <v>75.63</v>
      </c>
      <c r="I88" s="4">
        <f>HLOOKUP($C88,'Параметры ПФ'!$F$8:$K$13,6,FALSE)</f>
        <v>78.58</v>
      </c>
      <c r="J88" s="4">
        <f t="shared" si="3"/>
        <v>3025.2</v>
      </c>
      <c r="K88" s="5">
        <f>IF(J88&lt;'Параметры ПФ'!J$3+0.01,'Стандартные программы'!J88,ROUNDDOWN('Параметры ПФ'!J$3/IF(H88=0,I88,IF(I88&gt;H88,H88,I88)),0)*IF(H88=0,I88,IF(I88&gt;H88,H88,I88)))</f>
        <v>3025.2</v>
      </c>
      <c r="L88" s="4">
        <f t="shared" si="4"/>
        <v>45378</v>
      </c>
      <c r="M88" s="32">
        <f>IF(J88&lt;'Параметры ПФ'!J$3+0.01,E88*F88*G88,ROUNDDOWN('Параметры ПФ'!J$3/IF(H88=0,I88,IF(I88&gt;H88,H88,I88)),0)*G88)</f>
        <v>600</v>
      </c>
      <c r="N88" s="27">
        <f t="shared" si="5"/>
        <v>0</v>
      </c>
      <c r="P88" s="25">
        <f>IF(N88=0,0,IF(N88&gt;'[1]Расчет нормативных затрат'!J$2/2,0,IF(N88&lt;'[1]Расчет нормативных затрат'!J$2/3,2,1)))</f>
        <v>0</v>
      </c>
    </row>
    <row r="89" spans="1:16" x14ac:dyDescent="0.25">
      <c r="A89" s="94" t="s">
        <v>72</v>
      </c>
      <c r="B89" s="94" t="s">
        <v>114</v>
      </c>
      <c r="C89" s="94" t="s">
        <v>42</v>
      </c>
      <c r="D89" s="99">
        <v>36</v>
      </c>
      <c r="E89" s="99">
        <v>16</v>
      </c>
      <c r="F89" s="101">
        <v>2</v>
      </c>
      <c r="G89" s="101">
        <v>15</v>
      </c>
      <c r="H89" s="102">
        <v>75.63</v>
      </c>
      <c r="I89" s="4">
        <f>HLOOKUP($C89,'Параметры ПФ'!$F$8:$K$13,6,FALSE)</f>
        <v>78.58</v>
      </c>
      <c r="J89" s="4">
        <f t="shared" ref="J89:J101" si="12">IF(H89=0,I89*F89*E89,IF(I89&gt;H89,H89*F89*E89,I89*F89*E89))</f>
        <v>2420.16</v>
      </c>
      <c r="K89" s="5">
        <f>IF(J89&lt;'Параметры ПФ'!J$3+0.01,'Стандартные программы'!J89,ROUNDDOWN('Параметры ПФ'!J$3/IF(H89=0,I89,IF(I89&gt;H89,H89,I89)),0)*IF(H89=0,I89,IF(I89&gt;H89,H89,I89)))</f>
        <v>2420.16</v>
      </c>
      <c r="L89" s="4">
        <f t="shared" ref="L89:L101" si="13">K89*G89</f>
        <v>36302.400000000001</v>
      </c>
      <c r="M89" s="32">
        <f>IF(J89&lt;'Параметры ПФ'!J$3+0.01,E89*F89*G89,ROUNDDOWN('Параметры ПФ'!J$3/IF(H89=0,I89,IF(I89&gt;H89,H89,I89)),0)*G89)</f>
        <v>480</v>
      </c>
      <c r="N89" s="27">
        <f t="shared" ref="N89:N101" si="14">IF(H89=0,I89*F89*E89,IF(I89&gt;H89,H89*F89*E89,I89*F89*E89))-K89</f>
        <v>0</v>
      </c>
      <c r="P89" s="25">
        <f>IF(N89=0,0,IF(N89&gt;'[1]Расчет нормативных затрат'!J$2/2,0,IF(N89&lt;'[1]Расчет нормативных затрат'!J$2/3,2,1)))</f>
        <v>0</v>
      </c>
    </row>
    <row r="90" spans="1:16" x14ac:dyDescent="0.25">
      <c r="A90" s="94" t="s">
        <v>72</v>
      </c>
      <c r="B90" s="94" t="s">
        <v>115</v>
      </c>
      <c r="C90" s="94" t="s">
        <v>6</v>
      </c>
      <c r="D90" s="99">
        <v>36</v>
      </c>
      <c r="E90" s="99">
        <v>20</v>
      </c>
      <c r="F90" s="101">
        <v>2</v>
      </c>
      <c r="G90" s="101">
        <v>15</v>
      </c>
      <c r="H90" s="102">
        <v>75.63</v>
      </c>
      <c r="I90" s="4">
        <f>HLOOKUP($C90,'Параметры ПФ'!$F$8:$K$13,6,FALSE)</f>
        <v>77.97</v>
      </c>
      <c r="J90" s="4">
        <f t="shared" si="12"/>
        <v>3025.2</v>
      </c>
      <c r="K90" s="5">
        <f>IF(J90&lt;'Параметры ПФ'!J$3+0.01,'Стандартные программы'!J90,ROUNDDOWN('Параметры ПФ'!J$3/IF(H90=0,I90,IF(I90&gt;H90,H90,I90)),0)*IF(H90=0,I90,IF(I90&gt;H90,H90,I90)))</f>
        <v>3025.2</v>
      </c>
      <c r="L90" s="4">
        <f t="shared" si="13"/>
        <v>45378</v>
      </c>
      <c r="M90" s="32">
        <f>IF(J90&lt;'Параметры ПФ'!J$3+0.01,E90*F90*G90,ROUNDDOWN('Параметры ПФ'!J$3/IF(H90=0,I90,IF(I90&gt;H90,H90,I90)),0)*G90)</f>
        <v>600</v>
      </c>
      <c r="N90" s="27">
        <f t="shared" si="14"/>
        <v>0</v>
      </c>
      <c r="P90" s="25">
        <f>IF(N90=0,0,IF(N90&gt;'[1]Расчет нормативных затрат'!J$2/2,0,IF(N90&lt;'[1]Расчет нормативных затрат'!J$2/3,2,1)))</f>
        <v>0</v>
      </c>
    </row>
    <row r="91" spans="1:16" x14ac:dyDescent="0.25">
      <c r="A91" s="94" t="s">
        <v>72</v>
      </c>
      <c r="B91" s="94" t="s">
        <v>115</v>
      </c>
      <c r="C91" s="94" t="s">
        <v>6</v>
      </c>
      <c r="D91" s="99">
        <v>36</v>
      </c>
      <c r="E91" s="99">
        <v>16</v>
      </c>
      <c r="F91" s="101">
        <v>2</v>
      </c>
      <c r="G91" s="101">
        <v>15</v>
      </c>
      <c r="H91" s="102">
        <v>75.63</v>
      </c>
      <c r="I91" s="4">
        <f>HLOOKUP($C91,'Параметры ПФ'!$F$8:$K$13,6,FALSE)</f>
        <v>77.97</v>
      </c>
      <c r="J91" s="4">
        <f t="shared" si="12"/>
        <v>2420.16</v>
      </c>
      <c r="K91" s="5">
        <f>IF(J91&lt;'Параметры ПФ'!J$3+0.01,'Стандартные программы'!J91,ROUNDDOWN('Параметры ПФ'!J$3/IF(H91=0,I91,IF(I91&gt;H91,H91,I91)),0)*IF(H91=0,I91,IF(I91&gt;H91,H91,I91)))</f>
        <v>2420.16</v>
      </c>
      <c r="L91" s="4">
        <f t="shared" si="13"/>
        <v>36302.400000000001</v>
      </c>
      <c r="M91" s="32">
        <f>IF(J91&lt;'Параметры ПФ'!J$3+0.01,E91*F91*G91,ROUNDDOWN('Параметры ПФ'!J$3/IF(H91=0,I91,IF(I91&gt;H91,H91,I91)),0)*G91)</f>
        <v>480</v>
      </c>
      <c r="N91" s="27">
        <f t="shared" si="14"/>
        <v>0</v>
      </c>
      <c r="P91" s="25">
        <f>IF(N91=0,0,IF(N91&gt;'[1]Расчет нормативных затрат'!J$2/2,0,IF(N91&lt;'[1]Расчет нормативных затрат'!J$2/3,2,1)))</f>
        <v>0</v>
      </c>
    </row>
    <row r="92" spans="1:16" x14ac:dyDescent="0.25">
      <c r="A92" s="94" t="s">
        <v>72</v>
      </c>
      <c r="B92" s="97" t="s">
        <v>116</v>
      </c>
      <c r="C92" s="94" t="s">
        <v>6</v>
      </c>
      <c r="D92" s="99">
        <v>36</v>
      </c>
      <c r="E92" s="99">
        <v>20</v>
      </c>
      <c r="F92" s="101">
        <v>2</v>
      </c>
      <c r="G92" s="101">
        <v>15</v>
      </c>
      <c r="H92" s="102">
        <v>75.63</v>
      </c>
      <c r="I92" s="4">
        <f>HLOOKUP($C92,'Параметры ПФ'!$F$8:$K$13,6,FALSE)</f>
        <v>77.97</v>
      </c>
      <c r="J92" s="4">
        <f t="shared" si="12"/>
        <v>3025.2</v>
      </c>
      <c r="K92" s="5">
        <f>IF(J92&lt;'Параметры ПФ'!J$3+0.01,'Стандартные программы'!J92,ROUNDDOWN('Параметры ПФ'!J$3/IF(H92=0,I92,IF(I92&gt;H92,H92,I92)),0)*IF(H92=0,I92,IF(I92&gt;H92,H92,I92)))</f>
        <v>3025.2</v>
      </c>
      <c r="L92" s="4">
        <f t="shared" si="13"/>
        <v>45378</v>
      </c>
      <c r="M92" s="32">
        <f>IF(J92&lt;'Параметры ПФ'!J$3+0.01,E92*F92*G92,ROUNDDOWN('Параметры ПФ'!J$3/IF(H92=0,I92,IF(I92&gt;H92,H92,I92)),0)*G92)</f>
        <v>600</v>
      </c>
      <c r="N92" s="27">
        <f t="shared" si="14"/>
        <v>0</v>
      </c>
      <c r="P92" s="25">
        <f>IF(N92=0,0,IF(N92&gt;'[1]Расчет нормативных затрат'!J$2/2,0,IF(N92&lt;'[1]Расчет нормативных затрат'!J$2/3,2,1)))</f>
        <v>0</v>
      </c>
    </row>
    <row r="93" spans="1:16" x14ac:dyDescent="0.25">
      <c r="A93" s="94" t="s">
        <v>72</v>
      </c>
      <c r="B93" s="97" t="s">
        <v>116</v>
      </c>
      <c r="C93" s="94" t="s">
        <v>6</v>
      </c>
      <c r="D93" s="99">
        <v>36</v>
      </c>
      <c r="E93" s="99">
        <v>20</v>
      </c>
      <c r="F93" s="101">
        <v>2</v>
      </c>
      <c r="G93" s="101">
        <v>15</v>
      </c>
      <c r="H93" s="102">
        <v>75.63</v>
      </c>
      <c r="I93" s="4">
        <f>HLOOKUP($C93,'Параметры ПФ'!$F$8:$K$13,6,FALSE)</f>
        <v>77.97</v>
      </c>
      <c r="J93" s="4">
        <f t="shared" si="12"/>
        <v>3025.2</v>
      </c>
      <c r="K93" s="5">
        <f>IF(J93&lt;'Параметры ПФ'!J$3+0.01,'Стандартные программы'!J93,ROUNDDOWN('Параметры ПФ'!J$3/IF(H93=0,I93,IF(I93&gt;H93,H93,I93)),0)*IF(H93=0,I93,IF(I93&gt;H93,H93,I93)))</f>
        <v>3025.2</v>
      </c>
      <c r="L93" s="4">
        <f t="shared" si="13"/>
        <v>45378</v>
      </c>
      <c r="M93" s="32">
        <f>IF(J93&lt;'Параметры ПФ'!J$3+0.01,E93*F93*G93,ROUNDDOWN('Параметры ПФ'!J$3/IF(H93=0,I93,IF(I93&gt;H93,H93,I93)),0)*G93)</f>
        <v>600</v>
      </c>
      <c r="N93" s="27">
        <f t="shared" si="14"/>
        <v>0</v>
      </c>
      <c r="P93" s="25">
        <f>IF(N93=0,0,IF(N93&gt;'[1]Расчет нормативных затрат'!J$2/2,0,IF(N93&lt;'[1]Расчет нормативных затрат'!J$2/3,2,1)))</f>
        <v>0</v>
      </c>
    </row>
    <row r="94" spans="1:16" x14ac:dyDescent="0.25">
      <c r="A94" s="94" t="s">
        <v>72</v>
      </c>
      <c r="B94" s="97" t="s">
        <v>116</v>
      </c>
      <c r="C94" s="94" t="s">
        <v>6</v>
      </c>
      <c r="D94" s="99">
        <v>36</v>
      </c>
      <c r="E94" s="99">
        <v>16</v>
      </c>
      <c r="F94" s="101">
        <v>2</v>
      </c>
      <c r="G94" s="101">
        <v>15</v>
      </c>
      <c r="H94" s="102">
        <v>75.63</v>
      </c>
      <c r="I94" s="4">
        <f>HLOOKUP($C94,'Параметры ПФ'!$F$8:$K$13,6,FALSE)</f>
        <v>77.97</v>
      </c>
      <c r="J94" s="4">
        <f t="shared" si="12"/>
        <v>2420.16</v>
      </c>
      <c r="K94" s="5">
        <f>IF(J94&lt;'Параметры ПФ'!J$3+0.01,'Стандартные программы'!J94,ROUNDDOWN('Параметры ПФ'!J$3/IF(H94=0,I94,IF(I94&gt;H94,H94,I94)),0)*IF(H94=0,I94,IF(I94&gt;H94,H94,I94)))</f>
        <v>2420.16</v>
      </c>
      <c r="L94" s="4">
        <f t="shared" si="13"/>
        <v>36302.400000000001</v>
      </c>
      <c r="M94" s="32">
        <f>IF(J94&lt;'Параметры ПФ'!J$3+0.01,E94*F94*G94,ROUNDDOWN('Параметры ПФ'!J$3/IF(H94=0,I94,IF(I94&gt;H94,H94,I94)),0)*G94)</f>
        <v>480</v>
      </c>
      <c r="N94" s="27">
        <f t="shared" si="14"/>
        <v>0</v>
      </c>
      <c r="P94" s="25">
        <f>IF(N94=0,0,IF(N94&gt;'[1]Расчет нормативных затрат'!J$2/2,0,IF(N94&lt;'[1]Расчет нормативных затрат'!J$2/3,2,1)))</f>
        <v>0</v>
      </c>
    </row>
    <row r="95" spans="1:16" x14ac:dyDescent="0.25">
      <c r="A95" s="94" t="s">
        <v>72</v>
      </c>
      <c r="B95" s="97" t="s">
        <v>116</v>
      </c>
      <c r="C95" s="94" t="s">
        <v>6</v>
      </c>
      <c r="D95" s="99">
        <v>36</v>
      </c>
      <c r="E95" s="99">
        <v>16</v>
      </c>
      <c r="F95" s="101">
        <v>2</v>
      </c>
      <c r="G95" s="101">
        <v>15</v>
      </c>
      <c r="H95" s="102">
        <v>75.63</v>
      </c>
      <c r="I95" s="4">
        <f>HLOOKUP($C95,'Параметры ПФ'!$F$8:$K$13,6,FALSE)</f>
        <v>77.97</v>
      </c>
      <c r="J95" s="4">
        <f t="shared" si="12"/>
        <v>2420.16</v>
      </c>
      <c r="K95" s="5">
        <f>IF(J95&lt;'Параметры ПФ'!J$3+0.01,'Стандартные программы'!J95,ROUNDDOWN('Параметры ПФ'!J$3/IF(H95=0,I95,IF(I95&gt;H95,H95,I95)),0)*IF(H95=0,I95,IF(I95&gt;H95,H95,I95)))</f>
        <v>2420.16</v>
      </c>
      <c r="L95" s="4">
        <f t="shared" si="13"/>
        <v>36302.400000000001</v>
      </c>
      <c r="M95" s="32">
        <f>IF(J95&lt;'Параметры ПФ'!J$3+0.01,E95*F95*G95,ROUNDDOWN('Параметры ПФ'!J$3/IF(H95=0,I95,IF(I95&gt;H95,H95,I95)),0)*G95)</f>
        <v>480</v>
      </c>
      <c r="N95" s="27">
        <f t="shared" si="14"/>
        <v>0</v>
      </c>
      <c r="P95" s="25">
        <f>IF(N95=0,0,IF(N95&gt;'[1]Расчет нормативных затрат'!J$2/2,0,IF(N95&lt;'[1]Расчет нормативных затрат'!J$2/3,2,1)))</f>
        <v>0</v>
      </c>
    </row>
    <row r="96" spans="1:16" x14ac:dyDescent="0.25">
      <c r="A96" s="94" t="s">
        <v>72</v>
      </c>
      <c r="B96" s="94" t="s">
        <v>117</v>
      </c>
      <c r="C96" s="94" t="s">
        <v>42</v>
      </c>
      <c r="D96" s="99">
        <v>36</v>
      </c>
      <c r="E96" s="99">
        <v>20</v>
      </c>
      <c r="F96" s="101">
        <v>2</v>
      </c>
      <c r="G96" s="101">
        <v>15</v>
      </c>
      <c r="H96" s="102">
        <v>75.63</v>
      </c>
      <c r="I96" s="4">
        <f>HLOOKUP($C96,'Параметры ПФ'!$F$8:$K$13,6,FALSE)</f>
        <v>78.58</v>
      </c>
      <c r="J96" s="4">
        <f t="shared" si="12"/>
        <v>3025.2</v>
      </c>
      <c r="K96" s="5">
        <f>IF(J96&lt;'Параметры ПФ'!J$3+0.01,'Стандартные программы'!J96,ROUNDDOWN('Параметры ПФ'!J$3/IF(H96=0,I96,IF(I96&gt;H96,H96,I96)),0)*IF(H96=0,I96,IF(I96&gt;H96,H96,I96)))</f>
        <v>3025.2</v>
      </c>
      <c r="L96" s="4">
        <f t="shared" si="13"/>
        <v>45378</v>
      </c>
      <c r="M96" s="32">
        <f>IF(J96&lt;'Параметры ПФ'!J$3+0.01,E96*F96*G96,ROUNDDOWN('Параметры ПФ'!J$3/IF(H96=0,I96,IF(I96&gt;H96,H96,I96)),0)*G96)</f>
        <v>600</v>
      </c>
      <c r="N96" s="27">
        <f t="shared" si="14"/>
        <v>0</v>
      </c>
      <c r="P96" s="25">
        <f>IF(N96=0,0,IF(N96&gt;'[1]Расчет нормативных затрат'!J$2/2,0,IF(N96&lt;'[1]Расчет нормативных затрат'!J$2/3,2,1)))</f>
        <v>0</v>
      </c>
    </row>
    <row r="97" spans="1:16" x14ac:dyDescent="0.25">
      <c r="A97" s="94" t="s">
        <v>72</v>
      </c>
      <c r="B97" s="94" t="s">
        <v>117</v>
      </c>
      <c r="C97" s="94" t="s">
        <v>42</v>
      </c>
      <c r="D97" s="99">
        <v>36</v>
      </c>
      <c r="E97" s="99">
        <v>16</v>
      </c>
      <c r="F97" s="101">
        <v>2</v>
      </c>
      <c r="G97" s="101">
        <v>15</v>
      </c>
      <c r="H97" s="102">
        <v>75.63</v>
      </c>
      <c r="I97" s="4">
        <f>HLOOKUP($C97,'Параметры ПФ'!$F$8:$K$13,6,FALSE)</f>
        <v>78.58</v>
      </c>
      <c r="J97" s="4">
        <f t="shared" si="12"/>
        <v>2420.16</v>
      </c>
      <c r="K97" s="5">
        <f>IF(J97&lt;'Параметры ПФ'!J$3+0.01,'Стандартные программы'!J97,ROUNDDOWN('Параметры ПФ'!J$3/IF(H97=0,I97,IF(I97&gt;H97,H97,I97)),0)*IF(H97=0,I97,IF(I97&gt;H97,H97,I97)))</f>
        <v>2420.16</v>
      </c>
      <c r="L97" s="4">
        <f t="shared" si="13"/>
        <v>36302.400000000001</v>
      </c>
      <c r="M97" s="32">
        <f>IF(J97&lt;'Параметры ПФ'!J$3+0.01,E97*F97*G97,ROUNDDOWN('Параметры ПФ'!J$3/IF(H97=0,I97,IF(I97&gt;H97,H97,I97)),0)*G97)</f>
        <v>480</v>
      </c>
      <c r="N97" s="27">
        <f t="shared" si="14"/>
        <v>0</v>
      </c>
      <c r="P97" s="25">
        <f>IF(N97=0,0,IF(N97&gt;'[1]Расчет нормативных затрат'!J$2/2,0,IF(N97&lt;'[1]Расчет нормативных затрат'!J$2/3,2,1)))</f>
        <v>0</v>
      </c>
    </row>
    <row r="98" spans="1:16" x14ac:dyDescent="0.25">
      <c r="A98" s="94" t="s">
        <v>72</v>
      </c>
      <c r="B98" s="94" t="s">
        <v>118</v>
      </c>
      <c r="C98" s="94" t="s">
        <v>4</v>
      </c>
      <c r="D98" s="99">
        <v>36</v>
      </c>
      <c r="E98" s="99">
        <v>16</v>
      </c>
      <c r="F98" s="101">
        <v>4</v>
      </c>
      <c r="G98" s="101">
        <v>15</v>
      </c>
      <c r="H98" s="102">
        <v>75.63</v>
      </c>
      <c r="I98" s="4">
        <f>HLOOKUP($C98,'Параметры ПФ'!$F$8:$K$13,6,FALSE)</f>
        <v>77.97</v>
      </c>
      <c r="J98" s="4">
        <f t="shared" si="12"/>
        <v>4840.32</v>
      </c>
      <c r="K98" s="5">
        <f>IF(J98&lt;'Параметры ПФ'!J$3+0.01,'Стандартные программы'!J98,ROUNDDOWN('Параметры ПФ'!J$3/IF(H98=0,I98,IF(I98&gt;H98,H98,I98)),0)*IF(H98=0,I98,IF(I98&gt;H98,H98,I98)))</f>
        <v>4840.32</v>
      </c>
      <c r="L98" s="4">
        <f t="shared" si="13"/>
        <v>72604.800000000003</v>
      </c>
      <c r="M98" s="32">
        <f>IF(J98&lt;'Параметры ПФ'!J$3+0.01,E98*F98*G98,ROUNDDOWN('Параметры ПФ'!J$3/IF(H98=0,I98,IF(I98&gt;H98,H98,I98)),0)*G98)</f>
        <v>960</v>
      </c>
      <c r="N98" s="27">
        <f t="shared" si="14"/>
        <v>0</v>
      </c>
      <c r="P98" s="25">
        <f>IF(N98=0,0,IF(N98&gt;'[1]Расчет нормативных затрат'!J$2/2,0,IF(N98&lt;'[1]Расчет нормативных затрат'!J$2/3,2,1)))</f>
        <v>0</v>
      </c>
    </row>
    <row r="99" spans="1:16" x14ac:dyDescent="0.25">
      <c r="A99" s="94" t="s">
        <v>72</v>
      </c>
      <c r="B99" s="94" t="s">
        <v>118</v>
      </c>
      <c r="C99" s="94" t="s">
        <v>4</v>
      </c>
      <c r="D99" s="99">
        <v>36</v>
      </c>
      <c r="E99" s="99">
        <v>20</v>
      </c>
      <c r="F99" s="101">
        <v>4</v>
      </c>
      <c r="G99" s="101">
        <v>15</v>
      </c>
      <c r="H99" s="102">
        <v>75.63</v>
      </c>
      <c r="I99" s="4">
        <f>HLOOKUP($C99,'Параметры ПФ'!$F$8:$K$13,6,FALSE)</f>
        <v>77.97</v>
      </c>
      <c r="J99" s="4">
        <f t="shared" si="12"/>
        <v>6050.4</v>
      </c>
      <c r="K99" s="5">
        <f>IF(J99&lt;'Параметры ПФ'!J$3+0.01,'Стандартные программы'!J99,ROUNDDOWN('Параметры ПФ'!J$3/IF(H99=0,I99,IF(I99&gt;H99,H99,I99)),0)*IF(H99=0,I99,IF(I99&gt;H99,H99,I99)))</f>
        <v>6050.4</v>
      </c>
      <c r="L99" s="4">
        <f t="shared" si="13"/>
        <v>90756</v>
      </c>
      <c r="M99" s="32">
        <f>IF(J99&lt;'Параметры ПФ'!J$3+0.01,E99*F99*G99,ROUNDDOWN('Параметры ПФ'!J$3/IF(H99=0,I99,IF(I99&gt;H99,H99,I99)),0)*G99)</f>
        <v>1200</v>
      </c>
      <c r="N99" s="27">
        <f t="shared" si="14"/>
        <v>0</v>
      </c>
      <c r="P99" s="25">
        <f>IF(N99=0,0,IF(N99&gt;'[1]Расчет нормативных затрат'!J$2/2,0,IF(N99&lt;'[1]Расчет нормативных затрат'!J$2/3,2,1)))</f>
        <v>0</v>
      </c>
    </row>
    <row r="100" spans="1:16" x14ac:dyDescent="0.25">
      <c r="A100" s="94" t="s">
        <v>72</v>
      </c>
      <c r="B100" s="94" t="s">
        <v>119</v>
      </c>
      <c r="C100" s="94" t="s">
        <v>4</v>
      </c>
      <c r="D100" s="99">
        <v>36</v>
      </c>
      <c r="E100" s="99">
        <v>16</v>
      </c>
      <c r="F100" s="101">
        <v>4</v>
      </c>
      <c r="G100" s="101">
        <v>15</v>
      </c>
      <c r="H100" s="102">
        <v>75.63</v>
      </c>
      <c r="I100" s="4">
        <f>HLOOKUP($C100,'Параметры ПФ'!$F$8:$K$13,6,FALSE)</f>
        <v>77.97</v>
      </c>
      <c r="J100" s="4">
        <f t="shared" si="12"/>
        <v>4840.32</v>
      </c>
      <c r="K100" s="5">
        <f>IF(J100&lt;'Параметры ПФ'!J$3+0.01,'Стандартные программы'!J100,ROUNDDOWN('Параметры ПФ'!J$3/IF(H100=0,I100,IF(I100&gt;H100,H100,I100)),0)*IF(H100=0,I100,IF(I100&gt;H100,H100,I100)))</f>
        <v>4840.32</v>
      </c>
      <c r="L100" s="4">
        <f t="shared" si="13"/>
        <v>72604.800000000003</v>
      </c>
      <c r="M100" s="32">
        <f>IF(J100&lt;'Параметры ПФ'!J$3+0.01,E100*F100*G100,ROUNDDOWN('Параметры ПФ'!J$3/IF(H100=0,I100,IF(I100&gt;H100,H100,I100)),0)*G100)</f>
        <v>960</v>
      </c>
      <c r="N100" s="27">
        <f t="shared" si="14"/>
        <v>0</v>
      </c>
      <c r="P100" s="25">
        <f>IF(N100=0,0,IF(N100&gt;'[1]Расчет нормативных затрат'!J$2/2,0,IF(N100&lt;'[1]Расчет нормативных затрат'!J$2/3,2,1)))</f>
        <v>0</v>
      </c>
    </row>
    <row r="101" spans="1:16" x14ac:dyDescent="0.25">
      <c r="A101" s="94" t="s">
        <v>72</v>
      </c>
      <c r="B101" s="94" t="s">
        <v>119</v>
      </c>
      <c r="C101" s="94" t="s">
        <v>4</v>
      </c>
      <c r="D101" s="99">
        <v>36</v>
      </c>
      <c r="E101" s="99">
        <v>20</v>
      </c>
      <c r="F101" s="101">
        <v>4</v>
      </c>
      <c r="G101" s="101">
        <v>15</v>
      </c>
      <c r="H101" s="102">
        <v>75.63</v>
      </c>
      <c r="I101" s="4">
        <f>HLOOKUP($C101,'Параметры ПФ'!$F$8:$K$13,6,FALSE)</f>
        <v>77.97</v>
      </c>
      <c r="J101" s="4">
        <f t="shared" si="12"/>
        <v>6050.4</v>
      </c>
      <c r="K101" s="5">
        <f>IF(J101&lt;'Параметры ПФ'!J$3+0.01,'Стандартные программы'!J101,ROUNDDOWN('Параметры ПФ'!J$3/IF(H101=0,I101,IF(I101&gt;H101,H101,I101)),0)*IF(H101=0,I101,IF(I101&gt;H101,H101,I101)))</f>
        <v>6050.4</v>
      </c>
      <c r="L101" s="4">
        <f t="shared" si="13"/>
        <v>90756</v>
      </c>
      <c r="M101" s="32">
        <f>IF(J101&lt;'Параметры ПФ'!J$3+0.01,E101*F101*G101,ROUNDDOWN('Параметры ПФ'!J$3/IF(H101=0,I101,IF(I101&gt;H101,H101,I101)),0)*G101)</f>
        <v>1200</v>
      </c>
      <c r="N101" s="27">
        <f t="shared" si="14"/>
        <v>0</v>
      </c>
      <c r="P101" s="25">
        <f>IF(N101=0,0,IF(N101&gt;'[1]Расчет нормативных затрат'!J$2/2,0,IF(N101&lt;'[1]Расчет нормативных затрат'!J$2/3,2,1)))</f>
        <v>0</v>
      </c>
    </row>
    <row r="102" spans="1:16" x14ac:dyDescent="0.25">
      <c r="A102" s="94" t="s">
        <v>72</v>
      </c>
      <c r="B102" s="96" t="s">
        <v>120</v>
      </c>
      <c r="C102" s="94" t="s">
        <v>3</v>
      </c>
      <c r="D102" s="99">
        <v>36</v>
      </c>
      <c r="E102" s="99">
        <v>20</v>
      </c>
      <c r="F102" s="101">
        <v>2</v>
      </c>
      <c r="G102" s="101">
        <v>15</v>
      </c>
      <c r="H102" s="102">
        <v>75.63</v>
      </c>
      <c r="I102" s="4">
        <f>HLOOKUP($C102,'Параметры ПФ'!$F$8:$K$13,6,FALSE)</f>
        <v>77.97</v>
      </c>
      <c r="J102" s="4">
        <f t="shared" si="3"/>
        <v>3025.2</v>
      </c>
      <c r="K102" s="5">
        <f>IF(J102&lt;'Параметры ПФ'!J$3+0.01,'Стандартные программы'!J102,ROUNDDOWN('Параметры ПФ'!J$3/IF(H102=0,I102,IF(I102&gt;H102,H102,I102)),0)*IF(H102=0,I102,IF(I102&gt;H102,H102,I102)))</f>
        <v>3025.2</v>
      </c>
      <c r="L102" s="4">
        <f t="shared" si="4"/>
        <v>45378</v>
      </c>
      <c r="M102" s="32">
        <f>IF(J102&lt;'Параметры ПФ'!J$3+0.01,E102*F102*G102,ROUNDDOWN('Параметры ПФ'!J$3/IF(H102=0,I102,IF(I102&gt;H102,H102,I102)),0)*G102)</f>
        <v>600</v>
      </c>
      <c r="N102" s="27">
        <f t="shared" si="5"/>
        <v>0</v>
      </c>
      <c r="P102" s="25">
        <f>IF(N102=0,0,IF(N102&gt;'[1]Расчет нормативных затрат'!J$2/2,0,IF(N102&lt;'[1]Расчет нормативных затрат'!J$2/3,2,1)))</f>
        <v>0</v>
      </c>
    </row>
    <row r="103" spans="1:16" x14ac:dyDescent="0.25">
      <c r="A103" s="94" t="s">
        <v>72</v>
      </c>
      <c r="B103" s="94" t="s">
        <v>120</v>
      </c>
      <c r="C103" s="94" t="s">
        <v>3</v>
      </c>
      <c r="D103" s="99">
        <v>36</v>
      </c>
      <c r="E103" s="99">
        <v>16</v>
      </c>
      <c r="F103" s="101">
        <v>2</v>
      </c>
      <c r="G103" s="101">
        <v>15</v>
      </c>
      <c r="H103" s="102">
        <v>75.63</v>
      </c>
      <c r="I103" s="4">
        <f>HLOOKUP($C103,'Параметры ПФ'!$F$8:$K$13,6,FALSE)</f>
        <v>77.97</v>
      </c>
      <c r="J103" s="4">
        <f t="shared" si="3"/>
        <v>2420.16</v>
      </c>
      <c r="K103" s="5">
        <f>IF(J103&lt;'Параметры ПФ'!J$3+0.01,'Стандартные программы'!J103,ROUNDDOWN('Параметры ПФ'!J$3/IF(H103=0,I103,IF(I103&gt;H103,H103,I103)),0)*IF(H103=0,I103,IF(I103&gt;H103,H103,I103)))</f>
        <v>2420.16</v>
      </c>
      <c r="L103" s="4">
        <f t="shared" si="4"/>
        <v>36302.400000000001</v>
      </c>
      <c r="M103" s="32">
        <f>IF(J103&lt;'Параметры ПФ'!J$3+0.01,E103*F103*G103,ROUNDDOWN('Параметры ПФ'!J$3/IF(H103=0,I103,IF(I103&gt;H103,H103,I103)),0)*G103)</f>
        <v>480</v>
      </c>
      <c r="N103" s="27">
        <f t="shared" si="5"/>
        <v>0</v>
      </c>
      <c r="P103" s="25">
        <f>IF(N103=0,0,IF(N103&gt;'[1]Расчет нормативных затрат'!J$2/2,0,IF(N103&lt;'[1]Расчет нормативных затрат'!J$2/3,2,1)))</f>
        <v>0</v>
      </c>
    </row>
    <row r="104" spans="1:16" x14ac:dyDescent="0.25">
      <c r="A104" s="94" t="s">
        <v>72</v>
      </c>
      <c r="B104" s="94" t="s">
        <v>121</v>
      </c>
      <c r="C104" s="94" t="s">
        <v>42</v>
      </c>
      <c r="D104" s="99">
        <v>36</v>
      </c>
      <c r="E104" s="99">
        <v>20</v>
      </c>
      <c r="F104" s="101">
        <v>4</v>
      </c>
      <c r="G104" s="101">
        <v>15</v>
      </c>
      <c r="H104" s="102">
        <v>75.63</v>
      </c>
      <c r="I104" s="4">
        <f>HLOOKUP($C104,'Параметры ПФ'!$F$8:$K$13,6,FALSE)</f>
        <v>78.58</v>
      </c>
      <c r="J104" s="4">
        <f t="shared" si="3"/>
        <v>6050.4</v>
      </c>
      <c r="K104" s="5">
        <f>IF(J104&lt;'Параметры ПФ'!J$3+0.01,'Стандартные программы'!J104,ROUNDDOWN('Параметры ПФ'!J$3/IF(H104=0,I104,IF(I104&gt;H104,H104,I104)),0)*IF(H104=0,I104,IF(I104&gt;H104,H104,I104)))</f>
        <v>6050.4</v>
      </c>
      <c r="L104" s="4">
        <f t="shared" si="4"/>
        <v>90756</v>
      </c>
      <c r="M104" s="32">
        <f>IF(J104&lt;'Параметры ПФ'!J$3+0.01,E104*F104*G104,ROUNDDOWN('Параметры ПФ'!J$3/IF(H104=0,I104,IF(I104&gt;H104,H104,I104)),0)*G104)</f>
        <v>1200</v>
      </c>
      <c r="N104" s="27">
        <f t="shared" si="5"/>
        <v>0</v>
      </c>
      <c r="P104" s="25">
        <f>IF(N104=0,0,IF(N104&gt;'[1]Расчет нормативных затрат'!J$2/2,0,IF(N104&lt;'[1]Расчет нормативных затрат'!J$2/3,2,1)))</f>
        <v>0</v>
      </c>
    </row>
    <row r="105" spans="1:16" x14ac:dyDescent="0.25">
      <c r="A105" s="94" t="s">
        <v>72</v>
      </c>
      <c r="B105" s="94" t="s">
        <v>121</v>
      </c>
      <c r="C105" s="94" t="s">
        <v>42</v>
      </c>
      <c r="D105" s="99">
        <v>36</v>
      </c>
      <c r="E105" s="99">
        <v>20</v>
      </c>
      <c r="F105" s="101">
        <v>4</v>
      </c>
      <c r="G105" s="101">
        <v>15</v>
      </c>
      <c r="H105" s="102">
        <v>75.63</v>
      </c>
      <c r="I105" s="4">
        <f>HLOOKUP($C105,'Параметры ПФ'!$F$8:$K$13,6,FALSE)</f>
        <v>78.58</v>
      </c>
      <c r="J105" s="4">
        <f t="shared" si="3"/>
        <v>6050.4</v>
      </c>
      <c r="K105" s="5">
        <f>IF(J105&lt;'Параметры ПФ'!J$3+0.01,'Стандартные программы'!J105,ROUNDDOWN('Параметры ПФ'!J$3/IF(H105=0,I105,IF(I105&gt;H105,H105,I105)),0)*IF(H105=0,I105,IF(I105&gt;H105,H105,I105)))</f>
        <v>6050.4</v>
      </c>
      <c r="L105" s="4">
        <f t="shared" si="4"/>
        <v>90756</v>
      </c>
      <c r="M105" s="32">
        <f>IF(J105&lt;'Параметры ПФ'!J$3+0.01,E105*F105*G105,ROUNDDOWN('Параметры ПФ'!J$3/IF(H105=0,I105,IF(I105&gt;H105,H105,I105)),0)*G105)</f>
        <v>1200</v>
      </c>
      <c r="N105" s="27">
        <f t="shared" si="5"/>
        <v>0</v>
      </c>
      <c r="P105" s="25">
        <f>IF(N105=0,0,IF(N105&gt;'[1]Расчет нормативных затрат'!J$2/2,0,IF(N105&lt;'[1]Расчет нормативных затрат'!J$2/3,2,1)))</f>
        <v>0</v>
      </c>
    </row>
    <row r="106" spans="1:16" x14ac:dyDescent="0.25">
      <c r="A106" s="94" t="s">
        <v>72</v>
      </c>
      <c r="B106" s="94" t="s">
        <v>121</v>
      </c>
      <c r="C106" s="94" t="s">
        <v>42</v>
      </c>
      <c r="D106" s="99">
        <v>36</v>
      </c>
      <c r="E106" s="99">
        <v>16</v>
      </c>
      <c r="F106" s="101">
        <v>4</v>
      </c>
      <c r="G106" s="101">
        <v>15</v>
      </c>
      <c r="H106" s="102">
        <v>75.63</v>
      </c>
      <c r="I106" s="4">
        <f>HLOOKUP($C106,'Параметры ПФ'!$F$8:$K$13,6,FALSE)</f>
        <v>78.58</v>
      </c>
      <c r="J106" s="4">
        <f t="shared" si="3"/>
        <v>4840.32</v>
      </c>
      <c r="K106" s="5">
        <f>IF(J106&lt;'Параметры ПФ'!J$3+0.01,'Стандартные программы'!J106,ROUNDDOWN('Параметры ПФ'!J$3/IF(H106=0,I106,IF(I106&gt;H106,H106,I106)),0)*IF(H106=0,I106,IF(I106&gt;H106,H106,I106)))</f>
        <v>4840.32</v>
      </c>
      <c r="L106" s="4">
        <f t="shared" si="4"/>
        <v>72604.800000000003</v>
      </c>
      <c r="M106" s="32">
        <f>IF(J106&lt;'Параметры ПФ'!J$3+0.01,E106*F106*G106,ROUNDDOWN('Параметры ПФ'!J$3/IF(H106=0,I106,IF(I106&gt;H106,H106,I106)),0)*G106)</f>
        <v>960</v>
      </c>
      <c r="N106" s="27">
        <f t="shared" si="5"/>
        <v>0</v>
      </c>
      <c r="P106" s="25">
        <f>IF(N106=0,0,IF(N106&gt;'[1]Расчет нормативных затрат'!J$2/2,0,IF(N106&lt;'[1]Расчет нормативных затрат'!J$2/3,2,1)))</f>
        <v>0</v>
      </c>
    </row>
    <row r="107" spans="1:16" x14ac:dyDescent="0.25">
      <c r="A107" s="94" t="s">
        <v>72</v>
      </c>
      <c r="B107" s="94" t="s">
        <v>121</v>
      </c>
      <c r="C107" s="94" t="s">
        <v>42</v>
      </c>
      <c r="D107" s="99">
        <v>36</v>
      </c>
      <c r="E107" s="99">
        <v>16</v>
      </c>
      <c r="F107" s="101">
        <v>4</v>
      </c>
      <c r="G107" s="101">
        <v>15</v>
      </c>
      <c r="H107" s="102">
        <v>75.63</v>
      </c>
      <c r="I107" s="4">
        <f>HLOOKUP($C107,'Параметры ПФ'!$F$8:$K$13,6,FALSE)</f>
        <v>78.58</v>
      </c>
      <c r="J107" s="4">
        <f t="shared" si="3"/>
        <v>4840.32</v>
      </c>
      <c r="K107" s="5">
        <f>IF(J107&lt;'Параметры ПФ'!J$3+0.01,'Стандартные программы'!J107,ROUNDDOWN('Параметры ПФ'!J$3/IF(H107=0,I107,IF(I107&gt;H107,H107,I107)),0)*IF(H107=0,I107,IF(I107&gt;H107,H107,I107)))</f>
        <v>4840.32</v>
      </c>
      <c r="L107" s="4">
        <f t="shared" si="4"/>
        <v>72604.800000000003</v>
      </c>
      <c r="M107" s="32">
        <f>IF(J107&lt;'Параметры ПФ'!J$3+0.01,E107*F107*G107,ROUNDDOWN('Параметры ПФ'!J$3/IF(H107=0,I107,IF(I107&gt;H107,H107,I107)),0)*G107)</f>
        <v>960</v>
      </c>
      <c r="N107" s="27">
        <f t="shared" si="5"/>
        <v>0</v>
      </c>
      <c r="P107" s="25">
        <f>IF(N107=0,0,IF(N107&gt;'[1]Расчет нормативных затрат'!J$2/2,0,IF(N107&lt;'[1]Расчет нормативных затрат'!J$2/3,2,1)))</f>
        <v>0</v>
      </c>
    </row>
    <row r="108" spans="1:16" x14ac:dyDescent="0.25">
      <c r="A108" s="94" t="s">
        <v>72</v>
      </c>
      <c r="B108" s="94" t="s">
        <v>122</v>
      </c>
      <c r="C108" s="94" t="s">
        <v>5</v>
      </c>
      <c r="D108" s="99">
        <v>36</v>
      </c>
      <c r="E108" s="99">
        <v>20</v>
      </c>
      <c r="F108" s="101">
        <v>4</v>
      </c>
      <c r="G108" s="101">
        <v>15</v>
      </c>
      <c r="H108" s="102">
        <v>75.63</v>
      </c>
      <c r="I108" s="4">
        <f>HLOOKUP($C108,'Параметры ПФ'!$F$8:$K$13,6,FALSE)</f>
        <v>77.97</v>
      </c>
      <c r="J108" s="4">
        <f t="shared" si="3"/>
        <v>6050.4</v>
      </c>
      <c r="K108" s="5">
        <f>IF(J108&lt;'Параметры ПФ'!J$3+0.01,'Стандартные программы'!J108,ROUNDDOWN('Параметры ПФ'!J$3/IF(H108=0,I108,IF(I108&gt;H108,H108,I108)),0)*IF(H108=0,I108,IF(I108&gt;H108,H108,I108)))</f>
        <v>6050.4</v>
      </c>
      <c r="L108" s="4">
        <f t="shared" si="4"/>
        <v>90756</v>
      </c>
      <c r="M108" s="32">
        <f>IF(J108&lt;'Параметры ПФ'!J$3+0.01,E108*F108*G108,ROUNDDOWN('Параметры ПФ'!J$3/IF(H108=0,I108,IF(I108&gt;H108,H108,I108)),0)*G108)</f>
        <v>1200</v>
      </c>
      <c r="N108" s="27">
        <f t="shared" si="5"/>
        <v>0</v>
      </c>
      <c r="P108" s="25">
        <f>IF(N108=0,0,IF(N108&gt;'[1]Расчет нормативных затрат'!J$2/2,0,IF(N108&lt;'[1]Расчет нормативных затрат'!J$2/3,2,1)))</f>
        <v>0</v>
      </c>
    </row>
    <row r="109" spans="1:16" x14ac:dyDescent="0.25">
      <c r="A109" s="94" t="s">
        <v>72</v>
      </c>
      <c r="B109" s="94" t="s">
        <v>122</v>
      </c>
      <c r="C109" s="94" t="s">
        <v>5</v>
      </c>
      <c r="D109" s="99">
        <v>36</v>
      </c>
      <c r="E109" s="99">
        <v>20</v>
      </c>
      <c r="F109" s="101">
        <v>2</v>
      </c>
      <c r="G109" s="101">
        <v>15</v>
      </c>
      <c r="H109" s="102">
        <v>75.63</v>
      </c>
      <c r="I109" s="4">
        <f>HLOOKUP($C109,'Параметры ПФ'!$F$8:$K$13,6,FALSE)</f>
        <v>77.97</v>
      </c>
      <c r="J109" s="4">
        <f t="shared" si="3"/>
        <v>3025.2</v>
      </c>
      <c r="K109" s="5">
        <f>IF(J109&lt;'Параметры ПФ'!J$3+0.01,'Стандартные программы'!J109,ROUNDDOWN('Параметры ПФ'!J$3/IF(H109=0,I109,IF(I109&gt;H109,H109,I109)),0)*IF(H109=0,I109,IF(I109&gt;H109,H109,I109)))</f>
        <v>3025.2</v>
      </c>
      <c r="L109" s="4">
        <f t="shared" si="4"/>
        <v>45378</v>
      </c>
      <c r="M109" s="32">
        <f>IF(J109&lt;'Параметры ПФ'!J$3+0.01,E109*F109*G109,ROUNDDOWN('Параметры ПФ'!J$3/IF(H109=0,I109,IF(I109&gt;H109,H109,I109)),0)*G109)</f>
        <v>600</v>
      </c>
      <c r="N109" s="27">
        <f t="shared" si="5"/>
        <v>0</v>
      </c>
      <c r="P109" s="25">
        <f>IF(N109=0,0,IF(N109&gt;'[1]Расчет нормативных затрат'!J$2/2,0,IF(N109&lt;'[1]Расчет нормативных затрат'!J$2/3,2,1)))</f>
        <v>0</v>
      </c>
    </row>
    <row r="110" spans="1:16" x14ac:dyDescent="0.25">
      <c r="A110" s="94" t="s">
        <v>72</v>
      </c>
      <c r="B110" s="94" t="s">
        <v>122</v>
      </c>
      <c r="C110" s="94" t="s">
        <v>5</v>
      </c>
      <c r="D110" s="99">
        <v>36</v>
      </c>
      <c r="E110" s="99">
        <v>16</v>
      </c>
      <c r="F110" s="101">
        <v>4</v>
      </c>
      <c r="G110" s="101">
        <v>15</v>
      </c>
      <c r="H110" s="102">
        <v>75.63</v>
      </c>
      <c r="I110" s="4">
        <f>HLOOKUP($C110,'Параметры ПФ'!$F$8:$K$13,6,FALSE)</f>
        <v>77.97</v>
      </c>
      <c r="J110" s="4">
        <f t="shared" si="3"/>
        <v>4840.32</v>
      </c>
      <c r="K110" s="5">
        <f>IF(J110&lt;'Параметры ПФ'!J$3+0.01,'Стандартные программы'!J110,ROUNDDOWN('Параметры ПФ'!J$3/IF(H110=0,I110,IF(I110&gt;H110,H110,I110)),0)*IF(H110=0,I110,IF(I110&gt;H110,H110,I110)))</f>
        <v>4840.32</v>
      </c>
      <c r="L110" s="4">
        <f t="shared" si="4"/>
        <v>72604.800000000003</v>
      </c>
      <c r="M110" s="32">
        <f>IF(J110&lt;'Параметры ПФ'!J$3+0.01,E110*F110*G110,ROUNDDOWN('Параметры ПФ'!J$3/IF(H110=0,I110,IF(I110&gt;H110,H110,I110)),0)*G110)</f>
        <v>960</v>
      </c>
      <c r="N110" s="27">
        <f t="shared" si="5"/>
        <v>0</v>
      </c>
      <c r="P110" s="25">
        <f>IF(N110=0,0,IF(N110&gt;'[1]Расчет нормативных затрат'!J$2/2,0,IF(N110&lt;'[1]Расчет нормативных затрат'!J$2/3,2,1)))</f>
        <v>0</v>
      </c>
    </row>
    <row r="111" spans="1:16" x14ac:dyDescent="0.25">
      <c r="A111" s="94" t="s">
        <v>72</v>
      </c>
      <c r="B111" s="94" t="s">
        <v>122</v>
      </c>
      <c r="C111" s="94" t="s">
        <v>5</v>
      </c>
      <c r="D111" s="99">
        <v>36</v>
      </c>
      <c r="E111" s="99">
        <v>16</v>
      </c>
      <c r="F111" s="101">
        <v>2</v>
      </c>
      <c r="G111" s="101">
        <v>15</v>
      </c>
      <c r="H111" s="102">
        <v>75.63</v>
      </c>
      <c r="I111" s="4">
        <f>HLOOKUP($C111,'Параметры ПФ'!$F$8:$K$13,6,FALSE)</f>
        <v>77.97</v>
      </c>
      <c r="J111" s="4">
        <f t="shared" si="3"/>
        <v>2420.16</v>
      </c>
      <c r="K111" s="5">
        <f>IF(J111&lt;'Параметры ПФ'!J$3+0.01,'Стандартные программы'!J111,ROUNDDOWN('Параметры ПФ'!J$3/IF(H111=0,I111,IF(I111&gt;H111,H111,I111)),0)*IF(H111=0,I111,IF(I111&gt;H111,H111,I111)))</f>
        <v>2420.16</v>
      </c>
      <c r="L111" s="4">
        <f t="shared" si="4"/>
        <v>36302.400000000001</v>
      </c>
      <c r="M111" s="32">
        <f>IF(J111&lt;'Параметры ПФ'!J$3+0.01,E111*F111*G111,ROUNDDOWN('Параметры ПФ'!J$3/IF(H111=0,I111,IF(I111&gt;H111,H111,I111)),0)*G111)</f>
        <v>480</v>
      </c>
      <c r="N111" s="27">
        <f t="shared" si="5"/>
        <v>0</v>
      </c>
      <c r="P111" s="25">
        <f>IF(N111=0,0,IF(N111&gt;'[1]Расчет нормативных затрат'!J$2/2,0,IF(N111&lt;'[1]Расчет нормативных затрат'!J$2/3,2,1)))</f>
        <v>0</v>
      </c>
    </row>
    <row r="112" spans="1:16" x14ac:dyDescent="0.25">
      <c r="A112" s="94" t="s">
        <v>72</v>
      </c>
      <c r="B112" s="94" t="s">
        <v>123</v>
      </c>
      <c r="C112" s="94" t="s">
        <v>6</v>
      </c>
      <c r="D112" s="99">
        <v>36</v>
      </c>
      <c r="E112" s="99">
        <v>20</v>
      </c>
      <c r="F112" s="101">
        <v>4</v>
      </c>
      <c r="G112" s="101">
        <v>15</v>
      </c>
      <c r="H112" s="102">
        <v>75.63</v>
      </c>
      <c r="I112" s="4">
        <f>HLOOKUP($C112,'Параметры ПФ'!$F$8:$K$13,6,FALSE)</f>
        <v>77.97</v>
      </c>
      <c r="J112" s="4">
        <f t="shared" si="3"/>
        <v>6050.4</v>
      </c>
      <c r="K112" s="5">
        <f>IF(J112&lt;'Параметры ПФ'!J$3+0.01,'Стандартные программы'!J112,ROUNDDOWN('Параметры ПФ'!J$3/IF(H112=0,I112,IF(I112&gt;H112,H112,I112)),0)*IF(H112=0,I112,IF(I112&gt;H112,H112,I112)))</f>
        <v>6050.4</v>
      </c>
      <c r="L112" s="4">
        <f t="shared" si="4"/>
        <v>90756</v>
      </c>
      <c r="M112" s="32">
        <f>IF(J112&lt;'Параметры ПФ'!J$3+0.01,E112*F112*G112,ROUNDDOWN('Параметры ПФ'!J$3/IF(H112=0,I112,IF(I112&gt;H112,H112,I112)),0)*G112)</f>
        <v>1200</v>
      </c>
      <c r="N112" s="27">
        <f t="shared" si="5"/>
        <v>0</v>
      </c>
      <c r="P112" s="25">
        <f>IF(N112=0,0,IF(N112&gt;'[1]Расчет нормативных затрат'!J$2/2,0,IF(N112&lt;'[1]Расчет нормативных затрат'!J$2/3,2,1)))</f>
        <v>0</v>
      </c>
    </row>
    <row r="113" spans="1:16" x14ac:dyDescent="0.25">
      <c r="A113" s="94" t="s">
        <v>72</v>
      </c>
      <c r="B113" s="94" t="s">
        <v>123</v>
      </c>
      <c r="C113" s="94" t="s">
        <v>6</v>
      </c>
      <c r="D113" s="99">
        <v>36</v>
      </c>
      <c r="E113" s="99">
        <v>20</v>
      </c>
      <c r="F113" s="101">
        <v>4</v>
      </c>
      <c r="G113" s="101">
        <v>15</v>
      </c>
      <c r="H113" s="102">
        <v>75.63</v>
      </c>
      <c r="I113" s="4">
        <f>HLOOKUP($C113,'Параметры ПФ'!$F$8:$K$13,6,FALSE)</f>
        <v>77.97</v>
      </c>
      <c r="J113" s="4">
        <f t="shared" si="3"/>
        <v>6050.4</v>
      </c>
      <c r="K113" s="5">
        <f>IF(J113&lt;'Параметры ПФ'!J$3+0.01,'Стандартные программы'!J113,ROUNDDOWN('Параметры ПФ'!J$3/IF(H113=0,I113,IF(I113&gt;H113,H113,I113)),0)*IF(H113=0,I113,IF(I113&gt;H113,H113,I113)))</f>
        <v>6050.4</v>
      </c>
      <c r="L113" s="4">
        <f t="shared" si="4"/>
        <v>90756</v>
      </c>
      <c r="M113" s="32">
        <f>IF(J113&lt;'Параметры ПФ'!J$3+0.01,E113*F113*G113,ROUNDDOWN('Параметры ПФ'!J$3/IF(H113=0,I113,IF(I113&gt;H113,H113,I113)),0)*G113)</f>
        <v>1200</v>
      </c>
      <c r="N113" s="27">
        <f t="shared" si="5"/>
        <v>0</v>
      </c>
      <c r="P113" s="25">
        <f>IF(N113=0,0,IF(N113&gt;'[1]Расчет нормативных затрат'!J$2/2,0,IF(N113&lt;'[1]Расчет нормативных затрат'!J$2/3,2,1)))</f>
        <v>0</v>
      </c>
    </row>
    <row r="114" spans="1:16" x14ac:dyDescent="0.25">
      <c r="A114" s="94" t="s">
        <v>72</v>
      </c>
      <c r="B114" s="94" t="s">
        <v>123</v>
      </c>
      <c r="C114" s="94" t="s">
        <v>6</v>
      </c>
      <c r="D114" s="99">
        <v>36</v>
      </c>
      <c r="E114" s="99">
        <v>16</v>
      </c>
      <c r="F114" s="101">
        <v>4</v>
      </c>
      <c r="G114" s="101">
        <v>15</v>
      </c>
      <c r="H114" s="102">
        <v>75.63</v>
      </c>
      <c r="I114" s="4">
        <f>HLOOKUP($C114,'Параметры ПФ'!$F$8:$K$13,6,FALSE)</f>
        <v>77.97</v>
      </c>
      <c r="J114" s="4">
        <f t="shared" ref="J114:J135" si="15">IF(H114=0,I114*F114*E114,IF(I114&gt;H114,H114*F114*E114,I114*F114*E114))</f>
        <v>4840.32</v>
      </c>
      <c r="K114" s="5">
        <f>IF(J114&lt;'Параметры ПФ'!J$3+0.01,'Стандартные программы'!J114,ROUNDDOWN('Параметры ПФ'!J$3/IF(H114=0,I114,IF(I114&gt;H114,H114,I114)),0)*IF(H114=0,I114,IF(I114&gt;H114,H114,I114)))</f>
        <v>4840.32</v>
      </c>
      <c r="L114" s="4">
        <f t="shared" ref="L114:L135" si="16">K114*G114</f>
        <v>72604.800000000003</v>
      </c>
      <c r="M114" s="32">
        <f>IF(J114&lt;'Параметры ПФ'!J$3+0.01,E114*F114*G114,ROUNDDOWN('Параметры ПФ'!J$3/IF(H114=0,I114,IF(I114&gt;H114,H114,I114)),0)*G114)</f>
        <v>960</v>
      </c>
      <c r="N114" s="27">
        <f t="shared" ref="N114:N135" si="17">IF(H114=0,I114*F114*E114,IF(I114&gt;H114,H114*F114*E114,I114*F114*E114))-K114</f>
        <v>0</v>
      </c>
      <c r="P114" s="25">
        <f>IF(N114=0,0,IF(N114&gt;'[1]Расчет нормативных затрат'!J$2/2,0,IF(N114&lt;'[1]Расчет нормативных затрат'!J$2/3,2,1)))</f>
        <v>0</v>
      </c>
    </row>
    <row r="115" spans="1:16" x14ac:dyDescent="0.25">
      <c r="A115" s="94" t="s">
        <v>72</v>
      </c>
      <c r="B115" s="94" t="s">
        <v>123</v>
      </c>
      <c r="C115" s="94" t="s">
        <v>6</v>
      </c>
      <c r="D115" s="99">
        <v>36</v>
      </c>
      <c r="E115" s="99">
        <v>16</v>
      </c>
      <c r="F115" s="101">
        <v>4</v>
      </c>
      <c r="G115" s="101">
        <v>15</v>
      </c>
      <c r="H115" s="102">
        <v>75.63</v>
      </c>
      <c r="I115" s="4">
        <f>HLOOKUP($C115,'Параметры ПФ'!$F$8:$K$13,6,FALSE)</f>
        <v>77.97</v>
      </c>
      <c r="J115" s="4">
        <f t="shared" si="15"/>
        <v>4840.32</v>
      </c>
      <c r="K115" s="5">
        <f>IF(J115&lt;'Параметры ПФ'!J$3+0.01,'Стандартные программы'!J115,ROUNDDOWN('Параметры ПФ'!J$3/IF(H115=0,I115,IF(I115&gt;H115,H115,I115)),0)*IF(H115=0,I115,IF(I115&gt;H115,H115,I115)))</f>
        <v>4840.32</v>
      </c>
      <c r="L115" s="4">
        <f t="shared" si="16"/>
        <v>72604.800000000003</v>
      </c>
      <c r="M115" s="32">
        <f>IF(J115&lt;'Параметры ПФ'!J$3+0.01,E115*F115*G115,ROUNDDOWN('Параметры ПФ'!J$3/IF(H115=0,I115,IF(I115&gt;H115,H115,I115)),0)*G115)</f>
        <v>960</v>
      </c>
      <c r="N115" s="27">
        <f t="shared" si="17"/>
        <v>0</v>
      </c>
      <c r="P115" s="25">
        <f>IF(N115=0,0,IF(N115&gt;'[1]Расчет нормативных затрат'!J$2/2,0,IF(N115&lt;'[1]Расчет нормативных затрат'!J$2/3,2,1)))</f>
        <v>0</v>
      </c>
    </row>
    <row r="116" spans="1:16" x14ac:dyDescent="0.25">
      <c r="A116" s="94" t="s">
        <v>72</v>
      </c>
      <c r="B116" s="94" t="s">
        <v>124</v>
      </c>
      <c r="C116" s="94" t="s">
        <v>3</v>
      </c>
      <c r="D116" s="99">
        <v>36</v>
      </c>
      <c r="E116" s="99">
        <v>20</v>
      </c>
      <c r="F116" s="101">
        <v>4</v>
      </c>
      <c r="G116" s="101">
        <v>15</v>
      </c>
      <c r="H116" s="102">
        <v>75.63</v>
      </c>
      <c r="I116" s="4">
        <f>HLOOKUP($C116,'Параметры ПФ'!$F$8:$K$13,6,FALSE)</f>
        <v>77.97</v>
      </c>
      <c r="J116" s="4">
        <f t="shared" si="15"/>
        <v>6050.4</v>
      </c>
      <c r="K116" s="5">
        <f>IF(J116&lt;'Параметры ПФ'!J$3+0.01,'Стандартные программы'!J116,ROUNDDOWN('Параметры ПФ'!J$3/IF(H116=0,I116,IF(I116&gt;H116,H116,I116)),0)*IF(H116=0,I116,IF(I116&gt;H116,H116,I116)))</f>
        <v>6050.4</v>
      </c>
      <c r="L116" s="4">
        <f t="shared" si="16"/>
        <v>90756</v>
      </c>
      <c r="M116" s="32">
        <f>IF(J116&lt;'Параметры ПФ'!J$3+0.01,E116*F116*G116,ROUNDDOWN('Параметры ПФ'!J$3/IF(H116=0,I116,IF(I116&gt;H116,H116,I116)),0)*G116)</f>
        <v>1200</v>
      </c>
      <c r="N116" s="27">
        <f t="shared" si="17"/>
        <v>0</v>
      </c>
      <c r="P116" s="25">
        <f>IF(N116=0,0,IF(N116&gt;'[1]Расчет нормативных затрат'!J$2/2,0,IF(N116&lt;'[1]Расчет нормативных затрат'!J$2/3,2,1)))</f>
        <v>0</v>
      </c>
    </row>
    <row r="117" spans="1:16" x14ac:dyDescent="0.25">
      <c r="A117" s="94" t="s">
        <v>72</v>
      </c>
      <c r="B117" s="97" t="s">
        <v>124</v>
      </c>
      <c r="C117" s="94" t="s">
        <v>3</v>
      </c>
      <c r="D117" s="99">
        <v>36</v>
      </c>
      <c r="E117" s="99">
        <v>16</v>
      </c>
      <c r="F117" s="101">
        <v>4</v>
      </c>
      <c r="G117" s="101">
        <v>15</v>
      </c>
      <c r="H117" s="102">
        <v>75.63</v>
      </c>
      <c r="I117" s="4">
        <f>HLOOKUP($C117,'Параметры ПФ'!$F$8:$K$13,6,FALSE)</f>
        <v>77.97</v>
      </c>
      <c r="J117" s="4">
        <f t="shared" si="15"/>
        <v>4840.32</v>
      </c>
      <c r="K117" s="5">
        <f>IF(J117&lt;'Параметры ПФ'!J$3+0.01,'Стандартные программы'!J117,ROUNDDOWN('Параметры ПФ'!J$3/IF(H117=0,I117,IF(I117&gt;H117,H117,I117)),0)*IF(H117=0,I117,IF(I117&gt;H117,H117,I117)))</f>
        <v>4840.32</v>
      </c>
      <c r="L117" s="4">
        <f t="shared" si="16"/>
        <v>72604.800000000003</v>
      </c>
      <c r="M117" s="32">
        <f>IF(J117&lt;'Параметры ПФ'!J$3+0.01,E117*F117*G117,ROUNDDOWN('Параметры ПФ'!J$3/IF(H117=0,I117,IF(I117&gt;H117,H117,I117)),0)*G117)</f>
        <v>960</v>
      </c>
      <c r="N117" s="27">
        <f t="shared" si="17"/>
        <v>0</v>
      </c>
      <c r="P117" s="25">
        <f>IF(N117=0,0,IF(N117&gt;'[1]Расчет нормативных затрат'!J$2/2,0,IF(N117&lt;'[1]Расчет нормативных затрат'!J$2/3,2,1)))</f>
        <v>0</v>
      </c>
    </row>
    <row r="118" spans="1:16" x14ac:dyDescent="0.25">
      <c r="A118" s="94" t="s">
        <v>72</v>
      </c>
      <c r="B118" s="94" t="s">
        <v>125</v>
      </c>
      <c r="C118" s="94" t="s">
        <v>5</v>
      </c>
      <c r="D118" s="99">
        <v>36</v>
      </c>
      <c r="E118" s="99">
        <v>20</v>
      </c>
      <c r="F118" s="101">
        <v>4</v>
      </c>
      <c r="G118" s="101">
        <v>15</v>
      </c>
      <c r="H118" s="102">
        <v>75.63</v>
      </c>
      <c r="I118" s="4">
        <f>HLOOKUP($C118,'Параметры ПФ'!$F$8:$K$13,6,FALSE)</f>
        <v>77.97</v>
      </c>
      <c r="J118" s="4">
        <f t="shared" si="15"/>
        <v>6050.4</v>
      </c>
      <c r="K118" s="5">
        <f>IF(J118&lt;'Параметры ПФ'!J$3+0.01,'Стандартные программы'!J118,ROUNDDOWN('Параметры ПФ'!J$3/IF(H118=0,I118,IF(I118&gt;H118,H118,I118)),0)*IF(H118=0,I118,IF(I118&gt;H118,H118,I118)))</f>
        <v>6050.4</v>
      </c>
      <c r="L118" s="4">
        <f t="shared" si="16"/>
        <v>90756</v>
      </c>
      <c r="M118" s="32">
        <f>IF(J118&lt;'Параметры ПФ'!J$3+0.01,E118*F118*G118,ROUNDDOWN('Параметры ПФ'!J$3/IF(H118=0,I118,IF(I118&gt;H118,H118,I118)),0)*G118)</f>
        <v>1200</v>
      </c>
      <c r="N118" s="27">
        <f t="shared" si="17"/>
        <v>0</v>
      </c>
      <c r="P118" s="25">
        <f>IF(N118=0,0,IF(N118&gt;'[1]Расчет нормативных затрат'!J$2/2,0,IF(N118&lt;'[1]Расчет нормативных затрат'!J$2/3,2,1)))</f>
        <v>0</v>
      </c>
    </row>
    <row r="119" spans="1:16" x14ac:dyDescent="0.25">
      <c r="A119" s="94" t="s">
        <v>72</v>
      </c>
      <c r="B119" s="94" t="s">
        <v>125</v>
      </c>
      <c r="C119" s="94" t="s">
        <v>5</v>
      </c>
      <c r="D119" s="99">
        <v>36</v>
      </c>
      <c r="E119" s="99">
        <v>16</v>
      </c>
      <c r="F119" s="101">
        <v>4</v>
      </c>
      <c r="G119" s="101">
        <v>15</v>
      </c>
      <c r="H119" s="102">
        <v>75.63</v>
      </c>
      <c r="I119" s="4">
        <f>HLOOKUP($C119,'Параметры ПФ'!$F$8:$K$13,6,FALSE)</f>
        <v>77.97</v>
      </c>
      <c r="J119" s="4">
        <f t="shared" si="15"/>
        <v>4840.32</v>
      </c>
      <c r="K119" s="5">
        <f>IF(J119&lt;'Параметры ПФ'!J$3+0.01,'Стандартные программы'!J119,ROUNDDOWN('Параметры ПФ'!J$3/IF(H119=0,I119,IF(I119&gt;H119,H119,I119)),0)*IF(H119=0,I119,IF(I119&gt;H119,H119,I119)))</f>
        <v>4840.32</v>
      </c>
      <c r="L119" s="4">
        <f t="shared" si="16"/>
        <v>72604.800000000003</v>
      </c>
      <c r="M119" s="32">
        <f>IF(J119&lt;'Параметры ПФ'!J$3+0.01,E119*F119*G119,ROUNDDOWN('Параметры ПФ'!J$3/IF(H119=0,I119,IF(I119&gt;H119,H119,I119)),0)*G119)</f>
        <v>960</v>
      </c>
      <c r="N119" s="27">
        <f t="shared" si="17"/>
        <v>0</v>
      </c>
      <c r="P119" s="25">
        <f>IF(N119=0,0,IF(N119&gt;'[1]Расчет нормативных затрат'!J$2/2,0,IF(N119&lt;'[1]Расчет нормативных затрат'!J$2/3,2,1)))</f>
        <v>0</v>
      </c>
    </row>
    <row r="120" spans="1:16" x14ac:dyDescent="0.25">
      <c r="A120" s="94" t="s">
        <v>72</v>
      </c>
      <c r="B120" s="94" t="s">
        <v>126</v>
      </c>
      <c r="C120" s="94" t="s">
        <v>6</v>
      </c>
      <c r="D120" s="99">
        <v>36</v>
      </c>
      <c r="E120" s="99">
        <v>20</v>
      </c>
      <c r="F120" s="101">
        <v>4</v>
      </c>
      <c r="G120" s="101">
        <v>15</v>
      </c>
      <c r="H120" s="102">
        <v>75.63</v>
      </c>
      <c r="I120" s="4">
        <f>HLOOKUP($C120,'Параметры ПФ'!$F$8:$K$13,6,FALSE)</f>
        <v>77.97</v>
      </c>
      <c r="J120" s="4">
        <f t="shared" si="15"/>
        <v>6050.4</v>
      </c>
      <c r="K120" s="5">
        <f>IF(J120&lt;'Параметры ПФ'!J$3+0.01,'Стандартные программы'!J120,ROUNDDOWN('Параметры ПФ'!J$3/IF(H120=0,I120,IF(I120&gt;H120,H120,I120)),0)*IF(H120=0,I120,IF(I120&gt;H120,H120,I120)))</f>
        <v>6050.4</v>
      </c>
      <c r="L120" s="4">
        <f t="shared" si="16"/>
        <v>90756</v>
      </c>
      <c r="M120" s="32">
        <f>IF(J120&lt;'Параметры ПФ'!J$3+0.01,E120*F120*G120,ROUNDDOWN('Параметры ПФ'!J$3/IF(H120=0,I120,IF(I120&gt;H120,H120,I120)),0)*G120)</f>
        <v>1200</v>
      </c>
      <c r="N120" s="27">
        <f t="shared" si="17"/>
        <v>0</v>
      </c>
      <c r="P120" s="25">
        <f>IF(N120=0,0,IF(N120&gt;'[1]Расчет нормативных затрат'!J$2/2,0,IF(N120&lt;'[1]Расчет нормативных затрат'!J$2/3,2,1)))</f>
        <v>0</v>
      </c>
    </row>
    <row r="121" spans="1:16" x14ac:dyDescent="0.25">
      <c r="A121" s="94" t="s">
        <v>72</v>
      </c>
      <c r="B121" s="94" t="s">
        <v>126</v>
      </c>
      <c r="C121" s="94" t="s">
        <v>6</v>
      </c>
      <c r="D121" s="99">
        <v>36</v>
      </c>
      <c r="E121" s="99">
        <v>20</v>
      </c>
      <c r="F121" s="101">
        <v>2</v>
      </c>
      <c r="G121" s="101">
        <v>15</v>
      </c>
      <c r="H121" s="102">
        <v>75.63</v>
      </c>
      <c r="I121" s="4">
        <f>HLOOKUP($C121,'Параметры ПФ'!$F$8:$K$13,6,FALSE)</f>
        <v>77.97</v>
      </c>
      <c r="J121" s="4">
        <f t="shared" si="15"/>
        <v>3025.2</v>
      </c>
      <c r="K121" s="5">
        <f>IF(J121&lt;'Параметры ПФ'!J$3+0.01,'Стандартные программы'!J121,ROUNDDOWN('Параметры ПФ'!J$3/IF(H121=0,I121,IF(I121&gt;H121,H121,I121)),0)*IF(H121=0,I121,IF(I121&gt;H121,H121,I121)))</f>
        <v>3025.2</v>
      </c>
      <c r="L121" s="4">
        <f t="shared" si="16"/>
        <v>45378</v>
      </c>
      <c r="M121" s="32">
        <f>IF(J121&lt;'Параметры ПФ'!J$3+0.01,E121*F121*G121,ROUNDDOWN('Параметры ПФ'!J$3/IF(H121=0,I121,IF(I121&gt;H121,H121,I121)),0)*G121)</f>
        <v>600</v>
      </c>
      <c r="N121" s="27">
        <f t="shared" si="17"/>
        <v>0</v>
      </c>
      <c r="P121" s="25">
        <f>IF(N121=0,0,IF(N121&gt;'[1]Расчет нормативных затрат'!J$2/2,0,IF(N121&lt;'[1]Расчет нормативных затрат'!J$2/3,2,1)))</f>
        <v>0</v>
      </c>
    </row>
    <row r="122" spans="1:16" x14ac:dyDescent="0.25">
      <c r="A122" s="94" t="s">
        <v>72</v>
      </c>
      <c r="B122" s="94" t="s">
        <v>126</v>
      </c>
      <c r="C122" s="94" t="s">
        <v>6</v>
      </c>
      <c r="D122" s="99">
        <v>36</v>
      </c>
      <c r="E122" s="99">
        <v>16</v>
      </c>
      <c r="F122" s="101">
        <v>4</v>
      </c>
      <c r="G122" s="101">
        <v>15</v>
      </c>
      <c r="H122" s="102">
        <v>75.63</v>
      </c>
      <c r="I122" s="4">
        <f>HLOOKUP($C122,'Параметры ПФ'!$F$8:$K$13,6,FALSE)</f>
        <v>77.97</v>
      </c>
      <c r="J122" s="4">
        <f t="shared" si="15"/>
        <v>4840.32</v>
      </c>
      <c r="K122" s="5">
        <f>IF(J122&lt;'Параметры ПФ'!J$3+0.01,'Стандартные программы'!J122,ROUNDDOWN('Параметры ПФ'!J$3/IF(H122=0,I122,IF(I122&gt;H122,H122,I122)),0)*IF(H122=0,I122,IF(I122&gt;H122,H122,I122)))</f>
        <v>4840.32</v>
      </c>
      <c r="L122" s="4">
        <f t="shared" si="16"/>
        <v>72604.800000000003</v>
      </c>
      <c r="M122" s="32">
        <f>IF(J122&lt;'Параметры ПФ'!J$3+0.01,E122*F122*G122,ROUNDDOWN('Параметры ПФ'!J$3/IF(H122=0,I122,IF(I122&gt;H122,H122,I122)),0)*G122)</f>
        <v>960</v>
      </c>
      <c r="N122" s="27">
        <f t="shared" si="17"/>
        <v>0</v>
      </c>
      <c r="P122" s="25">
        <f>IF(N122=0,0,IF(N122&gt;'[1]Расчет нормативных затрат'!J$2/2,0,IF(N122&lt;'[1]Расчет нормативных затрат'!J$2/3,2,1)))</f>
        <v>0</v>
      </c>
    </row>
    <row r="123" spans="1:16" x14ac:dyDescent="0.25">
      <c r="A123" s="94" t="s">
        <v>72</v>
      </c>
      <c r="B123" s="94" t="s">
        <v>126</v>
      </c>
      <c r="C123" s="94" t="s">
        <v>6</v>
      </c>
      <c r="D123" s="99">
        <v>36</v>
      </c>
      <c r="E123" s="99">
        <v>16</v>
      </c>
      <c r="F123" s="101">
        <v>2</v>
      </c>
      <c r="G123" s="101">
        <v>15</v>
      </c>
      <c r="H123" s="102">
        <v>75.63</v>
      </c>
      <c r="I123" s="4">
        <f>HLOOKUP($C123,'Параметры ПФ'!$F$8:$K$13,6,FALSE)</f>
        <v>77.97</v>
      </c>
      <c r="J123" s="4">
        <f t="shared" si="15"/>
        <v>2420.16</v>
      </c>
      <c r="K123" s="5">
        <f>IF(J123&lt;'Параметры ПФ'!J$3+0.01,'Стандартные программы'!J123,ROUNDDOWN('Параметры ПФ'!J$3/IF(H123=0,I123,IF(I123&gt;H123,H123,I123)),0)*IF(H123=0,I123,IF(I123&gt;H123,H123,I123)))</f>
        <v>2420.16</v>
      </c>
      <c r="L123" s="4">
        <f t="shared" si="16"/>
        <v>36302.400000000001</v>
      </c>
      <c r="M123" s="32">
        <f>IF(J123&lt;'Параметры ПФ'!J$3+0.01,E123*F123*G123,ROUNDDOWN('Параметры ПФ'!J$3/IF(H123=0,I123,IF(I123&gt;H123,H123,I123)),0)*G123)</f>
        <v>480</v>
      </c>
      <c r="N123" s="27">
        <f t="shared" si="17"/>
        <v>0</v>
      </c>
      <c r="P123" s="25">
        <f>IF(N123=0,0,IF(N123&gt;'[1]Расчет нормативных затрат'!J$2/2,0,IF(N123&lt;'[1]Расчет нормативных затрат'!J$2/3,2,1)))</f>
        <v>0</v>
      </c>
    </row>
    <row r="124" spans="1:16" x14ac:dyDescent="0.25">
      <c r="A124" s="94" t="s">
        <v>72</v>
      </c>
      <c r="B124" s="94" t="s">
        <v>127</v>
      </c>
      <c r="C124" s="94" t="s">
        <v>6</v>
      </c>
      <c r="D124" s="99">
        <v>36</v>
      </c>
      <c r="E124" s="99">
        <v>20</v>
      </c>
      <c r="F124" s="101">
        <v>2</v>
      </c>
      <c r="G124" s="101">
        <v>15</v>
      </c>
      <c r="H124" s="102">
        <v>75.63</v>
      </c>
      <c r="I124" s="4">
        <f>HLOOKUP($C124,'Параметры ПФ'!$F$8:$K$13,6,FALSE)</f>
        <v>77.97</v>
      </c>
      <c r="J124" s="4">
        <f t="shared" si="15"/>
        <v>3025.2</v>
      </c>
      <c r="K124" s="5">
        <f>IF(J124&lt;'Параметры ПФ'!J$3+0.01,'Стандартные программы'!J124,ROUNDDOWN('Параметры ПФ'!J$3/IF(H124=0,I124,IF(I124&gt;H124,H124,I124)),0)*IF(H124=0,I124,IF(I124&gt;H124,H124,I124)))</f>
        <v>3025.2</v>
      </c>
      <c r="L124" s="4">
        <f t="shared" si="16"/>
        <v>45378</v>
      </c>
      <c r="M124" s="32">
        <f>IF(J124&lt;'Параметры ПФ'!J$3+0.01,E124*F124*G124,ROUNDDOWN('Параметры ПФ'!J$3/IF(H124=0,I124,IF(I124&gt;H124,H124,I124)),0)*G124)</f>
        <v>600</v>
      </c>
      <c r="N124" s="27">
        <f t="shared" si="17"/>
        <v>0</v>
      </c>
      <c r="P124" s="25">
        <f>IF(N124=0,0,IF(N124&gt;'[1]Расчет нормативных затрат'!J$2/2,0,IF(N124&lt;'[1]Расчет нормативных затрат'!J$2/3,2,1)))</f>
        <v>0</v>
      </c>
    </row>
    <row r="125" spans="1:16" x14ac:dyDescent="0.25">
      <c r="A125" s="94" t="s">
        <v>72</v>
      </c>
      <c r="B125" s="94" t="s">
        <v>127</v>
      </c>
      <c r="C125" s="94" t="s">
        <v>6</v>
      </c>
      <c r="D125" s="99">
        <v>36</v>
      </c>
      <c r="E125" s="99">
        <v>20</v>
      </c>
      <c r="F125" s="101">
        <v>2</v>
      </c>
      <c r="G125" s="101">
        <v>15</v>
      </c>
      <c r="H125" s="102">
        <v>75.63</v>
      </c>
      <c r="I125" s="4">
        <f>HLOOKUP($C125,'Параметры ПФ'!$F$8:$K$13,6,FALSE)</f>
        <v>77.97</v>
      </c>
      <c r="J125" s="4">
        <f t="shared" si="15"/>
        <v>3025.2</v>
      </c>
      <c r="K125" s="5">
        <f>IF(J125&lt;'Параметры ПФ'!J$3+0.01,'Стандартные программы'!J125,ROUNDDOWN('Параметры ПФ'!J$3/IF(H125=0,I125,IF(I125&gt;H125,H125,I125)),0)*IF(H125=0,I125,IF(I125&gt;H125,H125,I125)))</f>
        <v>3025.2</v>
      </c>
      <c r="L125" s="4">
        <f t="shared" si="16"/>
        <v>45378</v>
      </c>
      <c r="M125" s="32">
        <f>IF(J125&lt;'Параметры ПФ'!J$3+0.01,E125*F125*G125,ROUNDDOWN('Параметры ПФ'!J$3/IF(H125=0,I125,IF(I125&gt;H125,H125,I125)),0)*G125)</f>
        <v>600</v>
      </c>
      <c r="N125" s="27">
        <f t="shared" si="17"/>
        <v>0</v>
      </c>
      <c r="P125" s="25">
        <f>IF(N125=0,0,IF(N125&gt;'[1]Расчет нормативных затрат'!J$2/2,0,IF(N125&lt;'[1]Расчет нормативных затрат'!J$2/3,2,1)))</f>
        <v>0</v>
      </c>
    </row>
    <row r="126" spans="1:16" x14ac:dyDescent="0.25">
      <c r="A126" s="94" t="s">
        <v>72</v>
      </c>
      <c r="B126" s="94" t="s">
        <v>127</v>
      </c>
      <c r="C126" s="94" t="s">
        <v>6</v>
      </c>
      <c r="D126" s="99">
        <v>36</v>
      </c>
      <c r="E126" s="99">
        <v>16</v>
      </c>
      <c r="F126" s="101">
        <v>2</v>
      </c>
      <c r="G126" s="101">
        <v>15</v>
      </c>
      <c r="H126" s="102">
        <v>75.63</v>
      </c>
      <c r="I126" s="4">
        <f>HLOOKUP($C126,'Параметры ПФ'!$F$8:$K$13,6,FALSE)</f>
        <v>77.97</v>
      </c>
      <c r="J126" s="4">
        <f t="shared" si="15"/>
        <v>2420.16</v>
      </c>
      <c r="K126" s="5">
        <f>IF(J126&lt;'Параметры ПФ'!J$3+0.01,'Стандартные программы'!J126,ROUNDDOWN('Параметры ПФ'!J$3/IF(H126=0,I126,IF(I126&gt;H126,H126,I126)),0)*IF(H126=0,I126,IF(I126&gt;H126,H126,I126)))</f>
        <v>2420.16</v>
      </c>
      <c r="L126" s="4">
        <f t="shared" si="16"/>
        <v>36302.400000000001</v>
      </c>
      <c r="M126" s="32">
        <f>IF(J126&lt;'Параметры ПФ'!J$3+0.01,E126*F126*G126,ROUNDDOWN('Параметры ПФ'!J$3/IF(H126=0,I126,IF(I126&gt;H126,H126,I126)),0)*G126)</f>
        <v>480</v>
      </c>
      <c r="N126" s="27">
        <f t="shared" si="17"/>
        <v>0</v>
      </c>
      <c r="P126" s="25">
        <f>IF(N126=0,0,IF(N126&gt;'[1]Расчет нормативных затрат'!J$2/2,0,IF(N126&lt;'[1]Расчет нормативных затрат'!J$2/3,2,1)))</f>
        <v>0</v>
      </c>
    </row>
    <row r="127" spans="1:16" x14ac:dyDescent="0.25">
      <c r="A127" s="94" t="s">
        <v>72</v>
      </c>
      <c r="B127" s="94" t="s">
        <v>127</v>
      </c>
      <c r="C127" s="94" t="s">
        <v>6</v>
      </c>
      <c r="D127" s="99">
        <v>36</v>
      </c>
      <c r="E127" s="99">
        <v>16</v>
      </c>
      <c r="F127" s="101">
        <v>2</v>
      </c>
      <c r="G127" s="101">
        <v>15</v>
      </c>
      <c r="H127" s="102">
        <v>75.63</v>
      </c>
      <c r="I127" s="4">
        <f>HLOOKUP($C127,'Параметры ПФ'!$F$8:$K$13,6,FALSE)</f>
        <v>77.97</v>
      </c>
      <c r="J127" s="4">
        <f t="shared" si="15"/>
        <v>2420.16</v>
      </c>
      <c r="K127" s="5">
        <f>IF(J127&lt;'Параметры ПФ'!J$3+0.01,'Стандартные программы'!J127,ROUNDDOWN('Параметры ПФ'!J$3/IF(H127=0,I127,IF(I127&gt;H127,H127,I127)),0)*IF(H127=0,I127,IF(I127&gt;H127,H127,I127)))</f>
        <v>2420.16</v>
      </c>
      <c r="L127" s="4">
        <f t="shared" si="16"/>
        <v>36302.400000000001</v>
      </c>
      <c r="M127" s="32">
        <f>IF(J127&lt;'Параметры ПФ'!J$3+0.01,E127*F127*G127,ROUNDDOWN('Параметры ПФ'!J$3/IF(H127=0,I127,IF(I127&gt;H127,H127,I127)),0)*G127)</f>
        <v>480</v>
      </c>
      <c r="N127" s="27">
        <f t="shared" si="17"/>
        <v>0</v>
      </c>
      <c r="P127" s="25">
        <f>IF(N127=0,0,IF(N127&gt;'[1]Расчет нормативных затрат'!J$2/2,0,IF(N127&lt;'[1]Расчет нормативных затрат'!J$2/3,2,1)))</f>
        <v>0</v>
      </c>
    </row>
    <row r="128" spans="1:16" x14ac:dyDescent="0.25">
      <c r="A128" s="94" t="s">
        <v>72</v>
      </c>
      <c r="B128" s="94" t="s">
        <v>128</v>
      </c>
      <c r="C128" s="94" t="s">
        <v>6</v>
      </c>
      <c r="D128" s="99">
        <v>36</v>
      </c>
      <c r="E128" s="99">
        <v>20</v>
      </c>
      <c r="F128" s="101">
        <v>2</v>
      </c>
      <c r="G128" s="101">
        <v>15</v>
      </c>
      <c r="H128" s="102">
        <v>75.63</v>
      </c>
      <c r="I128" s="4">
        <f>HLOOKUP($C128,'Параметры ПФ'!$F$8:$K$13,6,FALSE)</f>
        <v>77.97</v>
      </c>
      <c r="J128" s="4">
        <f t="shared" si="15"/>
        <v>3025.2</v>
      </c>
      <c r="K128" s="5">
        <f>IF(J128&lt;'Параметры ПФ'!J$3+0.01,'Стандартные программы'!J128,ROUNDDOWN('Параметры ПФ'!J$3/IF(H128=0,I128,IF(I128&gt;H128,H128,I128)),0)*IF(H128=0,I128,IF(I128&gt;H128,H128,I128)))</f>
        <v>3025.2</v>
      </c>
      <c r="L128" s="4">
        <f t="shared" si="16"/>
        <v>45378</v>
      </c>
      <c r="M128" s="32">
        <f>IF(J128&lt;'Параметры ПФ'!J$3+0.01,E128*F128*G128,ROUNDDOWN('Параметры ПФ'!J$3/IF(H128=0,I128,IF(I128&gt;H128,H128,I128)),0)*G128)</f>
        <v>600</v>
      </c>
      <c r="N128" s="27">
        <f t="shared" si="17"/>
        <v>0</v>
      </c>
      <c r="P128" s="25">
        <f>IF(N128=0,0,IF(N128&gt;'[1]Расчет нормативных затрат'!J$2/2,0,IF(N128&lt;'[1]Расчет нормативных затрат'!J$2/3,2,1)))</f>
        <v>0</v>
      </c>
    </row>
    <row r="129" spans="1:16" x14ac:dyDescent="0.25">
      <c r="A129" s="94" t="s">
        <v>72</v>
      </c>
      <c r="B129" s="94" t="s">
        <v>128</v>
      </c>
      <c r="C129" s="94" t="s">
        <v>6</v>
      </c>
      <c r="D129" s="99">
        <v>36</v>
      </c>
      <c r="E129" s="99">
        <v>20</v>
      </c>
      <c r="F129" s="101">
        <v>4</v>
      </c>
      <c r="G129" s="101">
        <v>15</v>
      </c>
      <c r="H129" s="102">
        <v>75.63</v>
      </c>
      <c r="I129" s="4">
        <f>HLOOKUP($C129,'Параметры ПФ'!$F$8:$K$13,6,FALSE)</f>
        <v>77.97</v>
      </c>
      <c r="J129" s="4">
        <f t="shared" si="15"/>
        <v>6050.4</v>
      </c>
      <c r="K129" s="5">
        <f>IF(J129&lt;'Параметры ПФ'!J$3+0.01,'Стандартные программы'!J129,ROUNDDOWN('Параметры ПФ'!J$3/IF(H129=0,I129,IF(I129&gt;H129,H129,I129)),0)*IF(H129=0,I129,IF(I129&gt;H129,H129,I129)))</f>
        <v>6050.4</v>
      </c>
      <c r="L129" s="4">
        <f t="shared" si="16"/>
        <v>90756</v>
      </c>
      <c r="M129" s="32">
        <f>IF(J129&lt;'Параметры ПФ'!J$3+0.01,E129*F129*G129,ROUNDDOWN('Параметры ПФ'!J$3/IF(H129=0,I129,IF(I129&gt;H129,H129,I129)),0)*G129)</f>
        <v>1200</v>
      </c>
      <c r="N129" s="27">
        <f t="shared" si="17"/>
        <v>0</v>
      </c>
      <c r="P129" s="25">
        <f>IF(N129=0,0,IF(N129&gt;'[1]Расчет нормативных затрат'!J$2/2,0,IF(N129&lt;'[1]Расчет нормативных затрат'!J$2/3,2,1)))</f>
        <v>0</v>
      </c>
    </row>
    <row r="130" spans="1:16" x14ac:dyDescent="0.25">
      <c r="A130" s="94" t="s">
        <v>72</v>
      </c>
      <c r="B130" s="94" t="s">
        <v>128</v>
      </c>
      <c r="C130" s="94" t="s">
        <v>6</v>
      </c>
      <c r="D130" s="99">
        <v>36</v>
      </c>
      <c r="E130" s="99">
        <v>16</v>
      </c>
      <c r="F130" s="101">
        <v>2</v>
      </c>
      <c r="G130" s="101">
        <v>15</v>
      </c>
      <c r="H130" s="102">
        <v>75.63</v>
      </c>
      <c r="I130" s="4">
        <f>HLOOKUP($C130,'Параметры ПФ'!$F$8:$K$13,6,FALSE)</f>
        <v>77.97</v>
      </c>
      <c r="J130" s="4">
        <f t="shared" si="15"/>
        <v>2420.16</v>
      </c>
      <c r="K130" s="5">
        <f>IF(J130&lt;'Параметры ПФ'!J$3+0.01,'Стандартные программы'!J130,ROUNDDOWN('Параметры ПФ'!J$3/IF(H130=0,I130,IF(I130&gt;H130,H130,I130)),0)*IF(H130=0,I130,IF(I130&gt;H130,H130,I130)))</f>
        <v>2420.16</v>
      </c>
      <c r="L130" s="4">
        <f t="shared" si="16"/>
        <v>36302.400000000001</v>
      </c>
      <c r="M130" s="32">
        <f>IF(J130&lt;'Параметры ПФ'!J$3+0.01,E130*F130*G130,ROUNDDOWN('Параметры ПФ'!J$3/IF(H130=0,I130,IF(I130&gt;H130,H130,I130)),0)*G130)</f>
        <v>480</v>
      </c>
      <c r="N130" s="27">
        <f t="shared" si="17"/>
        <v>0</v>
      </c>
      <c r="P130" s="25">
        <f>IF(N130=0,0,IF(N130&gt;'[1]Расчет нормативных затрат'!J$2/2,0,IF(N130&lt;'[1]Расчет нормативных затрат'!J$2/3,2,1)))</f>
        <v>0</v>
      </c>
    </row>
    <row r="131" spans="1:16" x14ac:dyDescent="0.25">
      <c r="A131" s="94" t="s">
        <v>72</v>
      </c>
      <c r="B131" s="94" t="s">
        <v>128</v>
      </c>
      <c r="C131" s="94" t="s">
        <v>6</v>
      </c>
      <c r="D131" s="99">
        <v>36</v>
      </c>
      <c r="E131" s="99">
        <v>16</v>
      </c>
      <c r="F131" s="101">
        <v>4</v>
      </c>
      <c r="G131" s="101">
        <v>15</v>
      </c>
      <c r="H131" s="102">
        <v>75.63</v>
      </c>
      <c r="I131" s="4">
        <f>HLOOKUP($C131,'Параметры ПФ'!$F$8:$K$13,6,FALSE)</f>
        <v>77.97</v>
      </c>
      <c r="J131" s="4">
        <f t="shared" si="15"/>
        <v>4840.32</v>
      </c>
      <c r="K131" s="5">
        <f>IF(J131&lt;'Параметры ПФ'!J$3+0.01,'Стандартные программы'!J131,ROUNDDOWN('Параметры ПФ'!J$3/IF(H131=0,I131,IF(I131&gt;H131,H131,I131)),0)*IF(H131=0,I131,IF(I131&gt;H131,H131,I131)))</f>
        <v>4840.32</v>
      </c>
      <c r="L131" s="4">
        <f t="shared" si="16"/>
        <v>72604.800000000003</v>
      </c>
      <c r="M131" s="32">
        <f>IF(J131&lt;'Параметры ПФ'!J$3+0.01,E131*F131*G131,ROUNDDOWN('Параметры ПФ'!J$3/IF(H131=0,I131,IF(I131&gt;H131,H131,I131)),0)*G131)</f>
        <v>960</v>
      </c>
      <c r="N131" s="27">
        <f t="shared" si="17"/>
        <v>0</v>
      </c>
      <c r="P131" s="25">
        <f>IF(N131=0,0,IF(N131&gt;'[1]Расчет нормативных затрат'!J$2/2,0,IF(N131&lt;'[1]Расчет нормативных затрат'!J$2/3,2,1)))</f>
        <v>0</v>
      </c>
    </row>
    <row r="132" spans="1:16" x14ac:dyDescent="0.25">
      <c r="A132" s="94" t="s">
        <v>72</v>
      </c>
      <c r="B132" s="94" t="s">
        <v>129</v>
      </c>
      <c r="C132" s="94" t="s">
        <v>3</v>
      </c>
      <c r="D132" s="99">
        <v>36</v>
      </c>
      <c r="E132" s="99">
        <v>20</v>
      </c>
      <c r="F132" s="101">
        <v>2</v>
      </c>
      <c r="G132" s="101">
        <v>15</v>
      </c>
      <c r="H132" s="102">
        <v>75.63</v>
      </c>
      <c r="I132" s="4">
        <f>HLOOKUP($C132,'Параметры ПФ'!$F$8:$K$13,6,FALSE)</f>
        <v>77.97</v>
      </c>
      <c r="J132" s="4">
        <f t="shared" si="15"/>
        <v>3025.2</v>
      </c>
      <c r="K132" s="5">
        <f>IF(J132&lt;'Параметры ПФ'!J$3+0.01,'Стандартные программы'!J132,ROUNDDOWN('Параметры ПФ'!J$3/IF(H132=0,I132,IF(I132&gt;H132,H132,I132)),0)*IF(H132=0,I132,IF(I132&gt;H132,H132,I132)))</f>
        <v>3025.2</v>
      </c>
      <c r="L132" s="4">
        <f t="shared" si="16"/>
        <v>45378</v>
      </c>
      <c r="M132" s="32">
        <f>IF(J132&lt;'Параметры ПФ'!J$3+0.01,E132*F132*G132,ROUNDDOWN('Параметры ПФ'!J$3/IF(H132=0,I132,IF(I132&gt;H132,H132,I132)),0)*G132)</f>
        <v>600</v>
      </c>
      <c r="N132" s="27">
        <f t="shared" si="17"/>
        <v>0</v>
      </c>
      <c r="P132" s="25">
        <f>IF(N132=0,0,IF(N132&gt;'[1]Расчет нормативных затрат'!J$2/2,0,IF(N132&lt;'[1]Расчет нормативных затрат'!J$2/3,2,1)))</f>
        <v>0</v>
      </c>
    </row>
    <row r="133" spans="1:16" x14ac:dyDescent="0.25">
      <c r="A133" s="94" t="s">
        <v>72</v>
      </c>
      <c r="B133" s="94" t="s">
        <v>129</v>
      </c>
      <c r="C133" s="94" t="s">
        <v>3</v>
      </c>
      <c r="D133" s="99">
        <v>36</v>
      </c>
      <c r="E133" s="99">
        <v>16</v>
      </c>
      <c r="F133" s="101">
        <v>2</v>
      </c>
      <c r="G133" s="101">
        <v>15</v>
      </c>
      <c r="H133" s="102">
        <v>75.63</v>
      </c>
      <c r="I133" s="4">
        <f>HLOOKUP($C133,'Параметры ПФ'!$F$8:$K$13,6,FALSE)</f>
        <v>77.97</v>
      </c>
      <c r="J133" s="4">
        <f t="shared" si="15"/>
        <v>2420.16</v>
      </c>
      <c r="K133" s="5">
        <f>IF(J133&lt;'Параметры ПФ'!J$3+0.01,'Стандартные программы'!J133,ROUNDDOWN('Параметры ПФ'!J$3/IF(H133=0,I133,IF(I133&gt;H133,H133,I133)),0)*IF(H133=0,I133,IF(I133&gt;H133,H133,I133)))</f>
        <v>2420.16</v>
      </c>
      <c r="L133" s="4">
        <f t="shared" si="16"/>
        <v>36302.400000000001</v>
      </c>
      <c r="M133" s="32">
        <f>IF(J133&lt;'Параметры ПФ'!J$3+0.01,E133*F133*G133,ROUNDDOWN('Параметры ПФ'!J$3/IF(H133=0,I133,IF(I133&gt;H133,H133,I133)),0)*G133)</f>
        <v>480</v>
      </c>
      <c r="N133" s="27">
        <f t="shared" si="17"/>
        <v>0</v>
      </c>
      <c r="P133" s="25">
        <f>IF(N133=0,0,IF(N133&gt;'[1]Расчет нормативных затрат'!J$2/2,0,IF(N133&lt;'[1]Расчет нормативных затрат'!J$2/3,2,1)))</f>
        <v>0</v>
      </c>
    </row>
    <row r="134" spans="1:16" x14ac:dyDescent="0.25">
      <c r="A134" s="94" t="s">
        <v>72</v>
      </c>
      <c r="B134" s="94" t="s">
        <v>130</v>
      </c>
      <c r="C134" s="94" t="s">
        <v>42</v>
      </c>
      <c r="D134" s="99">
        <v>36</v>
      </c>
      <c r="E134" s="99">
        <v>20</v>
      </c>
      <c r="F134" s="101">
        <v>2</v>
      </c>
      <c r="G134" s="101">
        <v>15</v>
      </c>
      <c r="H134" s="102">
        <v>75.63</v>
      </c>
      <c r="I134" s="4">
        <f>HLOOKUP($C134,'Параметры ПФ'!$F$8:$K$13,6,FALSE)</f>
        <v>78.58</v>
      </c>
      <c r="J134" s="4">
        <f t="shared" si="15"/>
        <v>3025.2</v>
      </c>
      <c r="K134" s="5">
        <f>IF(J134&lt;'Параметры ПФ'!J$3+0.01,'Стандартные программы'!J134,ROUNDDOWN('Параметры ПФ'!J$3/IF(H134=0,I134,IF(I134&gt;H134,H134,I134)),0)*IF(H134=0,I134,IF(I134&gt;H134,H134,I134)))</f>
        <v>3025.2</v>
      </c>
      <c r="L134" s="4">
        <f t="shared" si="16"/>
        <v>45378</v>
      </c>
      <c r="M134" s="32">
        <f>IF(J134&lt;'Параметры ПФ'!J$3+0.01,E134*F134*G134,ROUNDDOWN('Параметры ПФ'!J$3/IF(H134=0,I134,IF(I134&gt;H134,H134,I134)),0)*G134)</f>
        <v>600</v>
      </c>
      <c r="N134" s="27">
        <f t="shared" si="17"/>
        <v>0</v>
      </c>
      <c r="P134" s="25">
        <f>IF(N134=0,0,IF(N134&gt;'[1]Расчет нормативных затрат'!J$2/2,0,IF(N134&lt;'[1]Расчет нормативных затрат'!J$2/3,2,1)))</f>
        <v>0</v>
      </c>
    </row>
    <row r="135" spans="1:16" x14ac:dyDescent="0.25">
      <c r="A135" s="94" t="s">
        <v>72</v>
      </c>
      <c r="B135" s="94" t="s">
        <v>130</v>
      </c>
      <c r="C135" s="94" t="s">
        <v>42</v>
      </c>
      <c r="D135" s="99">
        <v>36</v>
      </c>
      <c r="E135" s="99">
        <v>16</v>
      </c>
      <c r="F135" s="101">
        <v>2</v>
      </c>
      <c r="G135" s="101">
        <v>15</v>
      </c>
      <c r="H135" s="102">
        <v>75.63</v>
      </c>
      <c r="I135" s="4">
        <f>HLOOKUP($C135,'Параметры ПФ'!$F$8:$K$13,6,FALSE)</f>
        <v>78.58</v>
      </c>
      <c r="J135" s="4">
        <f t="shared" si="15"/>
        <v>2420.16</v>
      </c>
      <c r="K135" s="5">
        <f>IF(J135&lt;'Параметры ПФ'!J$3+0.01,'Стандартные программы'!J135,ROUNDDOWN('Параметры ПФ'!J$3/IF(H135=0,I135,IF(I135&gt;H135,H135,I135)),0)*IF(H135=0,I135,IF(I135&gt;H135,H135,I135)))</f>
        <v>2420.16</v>
      </c>
      <c r="L135" s="4">
        <f t="shared" si="16"/>
        <v>36302.400000000001</v>
      </c>
      <c r="M135" s="32">
        <f>IF(J135&lt;'Параметры ПФ'!J$3+0.01,E135*F135*G135,ROUNDDOWN('Параметры ПФ'!J$3/IF(H135=0,I135,IF(I135&gt;H135,H135,I135)),0)*G135)</f>
        <v>480</v>
      </c>
      <c r="N135" s="27">
        <f t="shared" si="17"/>
        <v>0</v>
      </c>
      <c r="P135" s="25">
        <f>IF(N135=0,0,IF(N135&gt;'[1]Расчет нормативных затрат'!J$2/2,0,IF(N135&lt;'[1]Расчет нормативных затрат'!J$2/3,2,1)))</f>
        <v>0</v>
      </c>
    </row>
    <row r="136" spans="1:16" x14ac:dyDescent="0.25">
      <c r="A136" s="94" t="s">
        <v>72</v>
      </c>
      <c r="B136" s="94" t="s">
        <v>131</v>
      </c>
      <c r="C136" s="94" t="s">
        <v>42</v>
      </c>
      <c r="D136" s="99">
        <v>36</v>
      </c>
      <c r="E136" s="99">
        <v>20</v>
      </c>
      <c r="F136" s="101">
        <v>2</v>
      </c>
      <c r="G136" s="101">
        <v>15</v>
      </c>
      <c r="H136" s="102">
        <v>75.63</v>
      </c>
      <c r="I136" s="4">
        <f>HLOOKUP($C136,'Параметры ПФ'!$F$8:$K$13,6,FALSE)</f>
        <v>78.58</v>
      </c>
      <c r="J136" s="4">
        <f t="shared" si="3"/>
        <v>3025.2</v>
      </c>
      <c r="K136" s="5">
        <f>IF(J136&lt;'Параметры ПФ'!J$3+0.01,'Стандартные программы'!J136,ROUNDDOWN('Параметры ПФ'!J$3/IF(H136=0,I136,IF(I136&gt;H136,H136,I136)),0)*IF(H136=0,I136,IF(I136&gt;H136,H136,I136)))</f>
        <v>3025.2</v>
      </c>
      <c r="L136" s="4">
        <f t="shared" si="4"/>
        <v>45378</v>
      </c>
      <c r="M136" s="32">
        <f>IF(J136&lt;'Параметры ПФ'!J$3+0.01,E136*F136*G136,ROUNDDOWN('Параметры ПФ'!J$3/IF(H136=0,I136,IF(I136&gt;H136,H136,I136)),0)*G136)</f>
        <v>600</v>
      </c>
      <c r="N136" s="27">
        <f t="shared" si="5"/>
        <v>0</v>
      </c>
      <c r="P136" s="25">
        <f>IF(N136=0,0,IF(N136&gt;'[1]Расчет нормативных затрат'!J$2/2,0,IF(N136&lt;'[1]Расчет нормативных затрат'!J$2/3,2,1)))</f>
        <v>0</v>
      </c>
    </row>
    <row r="137" spans="1:16" x14ac:dyDescent="0.25">
      <c r="A137" s="94" t="s">
        <v>72</v>
      </c>
      <c r="B137" s="94" t="s">
        <v>131</v>
      </c>
      <c r="C137" s="94" t="s">
        <v>42</v>
      </c>
      <c r="D137" s="99">
        <v>36</v>
      </c>
      <c r="E137" s="99">
        <v>16</v>
      </c>
      <c r="F137" s="101">
        <v>2</v>
      </c>
      <c r="G137" s="101">
        <v>15</v>
      </c>
      <c r="H137" s="102">
        <v>75.63</v>
      </c>
      <c r="I137" s="4">
        <f>HLOOKUP($C137,'Параметры ПФ'!$F$8:$K$13,6,FALSE)</f>
        <v>78.58</v>
      </c>
      <c r="J137" s="4">
        <f t="shared" si="3"/>
        <v>2420.16</v>
      </c>
      <c r="K137" s="5">
        <f>IF(J137&lt;'Параметры ПФ'!J$3+0.01,'Стандартные программы'!J137,ROUNDDOWN('Параметры ПФ'!J$3/IF(H137=0,I137,IF(I137&gt;H137,H137,I137)),0)*IF(H137=0,I137,IF(I137&gt;H137,H137,I137)))</f>
        <v>2420.16</v>
      </c>
      <c r="L137" s="4">
        <f t="shared" si="4"/>
        <v>36302.400000000001</v>
      </c>
      <c r="M137" s="32">
        <f>IF(J137&lt;'Параметры ПФ'!J$3+0.01,E137*F137*G137,ROUNDDOWN('Параметры ПФ'!J$3/IF(H137=0,I137,IF(I137&gt;H137,H137,I137)),0)*G137)</f>
        <v>480</v>
      </c>
      <c r="N137" s="27">
        <f t="shared" si="5"/>
        <v>0</v>
      </c>
      <c r="P137" s="25">
        <f>IF(N137=0,0,IF(N137&gt;'[1]Расчет нормативных затрат'!J$2/2,0,IF(N137&lt;'[1]Расчет нормативных затрат'!J$2/3,2,1)))</f>
        <v>0</v>
      </c>
    </row>
    <row r="138" spans="1:16" x14ac:dyDescent="0.25">
      <c r="A138" s="94" t="s">
        <v>72</v>
      </c>
      <c r="B138" s="94" t="s">
        <v>132</v>
      </c>
      <c r="C138" s="94" t="s">
        <v>5</v>
      </c>
      <c r="D138" s="99">
        <v>36</v>
      </c>
      <c r="E138" s="99">
        <v>20</v>
      </c>
      <c r="F138" s="101">
        <v>2</v>
      </c>
      <c r="G138" s="101">
        <v>20</v>
      </c>
      <c r="H138" s="102">
        <v>75.63</v>
      </c>
      <c r="I138" s="4">
        <f>HLOOKUP($C138,'Параметры ПФ'!$F$8:$K$13,6,FALSE)</f>
        <v>77.97</v>
      </c>
      <c r="J138" s="4">
        <f t="shared" si="1"/>
        <v>3025.2</v>
      </c>
      <c r="K138" s="5">
        <f>IF(J138&lt;'Параметры ПФ'!J$3+0.01,'Стандартные программы'!J138,ROUNDDOWN('Параметры ПФ'!J$3/IF(H138=0,I138,IF(I138&gt;H138,H138,I138)),0)*IF(H138=0,I138,IF(I138&gt;H138,H138,I138)))</f>
        <v>3025.2</v>
      </c>
      <c r="L138" s="4">
        <f t="shared" si="0"/>
        <v>60504</v>
      </c>
      <c r="M138" s="32">
        <f>IF(J138&lt;'Параметры ПФ'!J$3+0.01,E138*F138*G138,ROUNDDOWN('Параметры ПФ'!J$3/IF(H138=0,I138,IF(I138&gt;H138,H138,I138)),0)*G138)</f>
        <v>800</v>
      </c>
      <c r="N138" s="27">
        <f t="shared" si="2"/>
        <v>0</v>
      </c>
      <c r="P138" s="25">
        <f>IF(N138=0,0,IF(N138&gt;'[1]Расчет нормативных затрат'!J$2/2,0,IF(N138&lt;'[1]Расчет нормативных затрат'!J$2/3,2,1)))</f>
        <v>0</v>
      </c>
    </row>
    <row r="139" spans="1:16" x14ac:dyDescent="0.25">
      <c r="A139" s="94" t="s">
        <v>72</v>
      </c>
      <c r="B139" s="94" t="s">
        <v>132</v>
      </c>
      <c r="C139" s="94" t="s">
        <v>5</v>
      </c>
      <c r="D139" s="99">
        <v>36</v>
      </c>
      <c r="E139" s="99">
        <v>16</v>
      </c>
      <c r="F139" s="101">
        <v>2</v>
      </c>
      <c r="G139" s="101">
        <v>20</v>
      </c>
      <c r="H139" s="102">
        <v>75.63</v>
      </c>
      <c r="I139" s="4">
        <f>HLOOKUP($C139,'Параметры ПФ'!$F$8:$K$13,6,FALSE)</f>
        <v>77.97</v>
      </c>
      <c r="J139" s="4">
        <f t="shared" si="1"/>
        <v>2420.16</v>
      </c>
      <c r="K139" s="5">
        <f>IF(J139&lt;'Параметры ПФ'!J$3+0.01,'Стандартные программы'!J139,ROUNDDOWN('Параметры ПФ'!J$3/IF(H139=0,I139,IF(I139&gt;H139,H139,I139)),0)*IF(H139=0,I139,IF(I139&gt;H139,H139,I139)))</f>
        <v>2420.16</v>
      </c>
      <c r="L139" s="4">
        <f t="shared" si="0"/>
        <v>48403.199999999997</v>
      </c>
      <c r="M139" s="32">
        <f>IF(J139&lt;'Параметры ПФ'!J$3+0.01,E139*F139*G139,ROUNDDOWN('Параметры ПФ'!J$3/IF(H139=0,I139,IF(I139&gt;H139,H139,I139)),0)*G139)</f>
        <v>640</v>
      </c>
      <c r="N139" s="27">
        <f t="shared" si="2"/>
        <v>0</v>
      </c>
      <c r="P139" s="25">
        <f>IF(N139=0,0,IF(N139&gt;'[1]Расчет нормативных затрат'!J$2/2,0,IF(N139&lt;'[1]Расчет нормативных затрат'!J$2/3,2,1)))</f>
        <v>0</v>
      </c>
    </row>
    <row r="140" spans="1:16" x14ac:dyDescent="0.25">
      <c r="A140" s="94" t="s">
        <v>72</v>
      </c>
      <c r="B140" s="94" t="s">
        <v>133</v>
      </c>
      <c r="C140" s="94" t="s">
        <v>42</v>
      </c>
      <c r="D140" s="99">
        <v>36</v>
      </c>
      <c r="E140" s="99">
        <v>20</v>
      </c>
      <c r="F140" s="101">
        <v>2</v>
      </c>
      <c r="G140" s="101">
        <v>15</v>
      </c>
      <c r="H140" s="102">
        <v>75.63</v>
      </c>
      <c r="I140" s="4">
        <f>HLOOKUP($C140,'Параметры ПФ'!$F$8:$K$13,6,FALSE)</f>
        <v>78.58</v>
      </c>
      <c r="J140" s="4">
        <f t="shared" si="1"/>
        <v>3025.2</v>
      </c>
      <c r="K140" s="5">
        <f>IF(J140&lt;'Параметры ПФ'!J$3+0.01,'Стандартные программы'!J140,ROUNDDOWN('Параметры ПФ'!J$3/IF(H140=0,I140,IF(I140&gt;H140,H140,I140)),0)*IF(H140=0,I140,IF(I140&gt;H140,H140,I140)))</f>
        <v>3025.2</v>
      </c>
      <c r="L140" s="4">
        <f t="shared" si="0"/>
        <v>45378</v>
      </c>
      <c r="M140" s="32">
        <f>IF(J140&lt;'Параметры ПФ'!J$3+0.01,E140*F140*G140,ROUNDDOWN('Параметры ПФ'!J$3/IF(H140=0,I140,IF(I140&gt;H140,H140,I140)),0)*G140)</f>
        <v>600</v>
      </c>
      <c r="N140" s="27">
        <f t="shared" si="2"/>
        <v>0</v>
      </c>
      <c r="P140" s="25">
        <f>IF(N140=0,0,IF(N140&gt;'[1]Расчет нормативных затрат'!J$2/2,0,IF(N140&lt;'[1]Расчет нормативных затрат'!J$2/3,2,1)))</f>
        <v>0</v>
      </c>
    </row>
    <row r="141" spans="1:16" x14ac:dyDescent="0.25">
      <c r="A141" s="94" t="s">
        <v>72</v>
      </c>
      <c r="B141" s="94" t="s">
        <v>133</v>
      </c>
      <c r="C141" s="94" t="s">
        <v>42</v>
      </c>
      <c r="D141" s="99">
        <v>36</v>
      </c>
      <c r="E141" s="99">
        <v>16</v>
      </c>
      <c r="F141" s="101">
        <v>2</v>
      </c>
      <c r="G141" s="101">
        <v>15</v>
      </c>
      <c r="H141" s="102">
        <v>75.63</v>
      </c>
      <c r="I141" s="4">
        <f>HLOOKUP($C141,'Параметры ПФ'!$F$8:$K$13,6,FALSE)</f>
        <v>78.58</v>
      </c>
      <c r="J141" s="4">
        <f t="shared" si="1"/>
        <v>2420.16</v>
      </c>
      <c r="K141" s="5">
        <f>IF(J141&lt;'Параметры ПФ'!J$3+0.01,'Стандартные программы'!J141,ROUNDDOWN('Параметры ПФ'!J$3/IF(H141=0,I141,IF(I141&gt;H141,H141,I141)),0)*IF(H141=0,I141,IF(I141&gt;H141,H141,I141)))</f>
        <v>2420.16</v>
      </c>
      <c r="L141" s="4">
        <f t="shared" si="0"/>
        <v>36302.400000000001</v>
      </c>
      <c r="M141" s="32">
        <f>IF(J141&lt;'Параметры ПФ'!J$3+0.01,E141*F141*G141,ROUNDDOWN('Параметры ПФ'!J$3/IF(H141=0,I141,IF(I141&gt;H141,H141,I141)),0)*G141)</f>
        <v>480</v>
      </c>
      <c r="N141" s="27">
        <f t="shared" si="2"/>
        <v>0</v>
      </c>
      <c r="P141" s="25">
        <f>IF(N141=0,0,IF(N141&gt;'[1]Расчет нормативных затрат'!J$2/2,0,IF(N141&lt;'[1]Расчет нормативных затрат'!J$2/3,2,1)))</f>
        <v>0</v>
      </c>
    </row>
    <row r="142" spans="1:16" x14ac:dyDescent="0.25">
      <c r="A142" s="121"/>
      <c r="B142" s="121"/>
      <c r="C142" s="121"/>
      <c r="D142" s="121"/>
      <c r="E142" s="121"/>
      <c r="F142" s="121"/>
      <c r="G142" s="6">
        <f>SUM(G2:G141)</f>
        <v>2394</v>
      </c>
      <c r="H142" s="7" t="s">
        <v>30</v>
      </c>
      <c r="I142" s="8" t="s">
        <v>30</v>
      </c>
      <c r="J142" s="7" t="s">
        <v>30</v>
      </c>
      <c r="K142" s="8" t="s">
        <v>30</v>
      </c>
      <c r="L142" s="33">
        <f>SUM(L2:L141)</f>
        <v>8723466.7200000007</v>
      </c>
      <c r="M142" s="34">
        <f>SUM(M2:M141)</f>
        <v>115344</v>
      </c>
      <c r="N142" s="28" t="s">
        <v>30</v>
      </c>
    </row>
    <row r="143" spans="1:16" x14ac:dyDescent="0.25">
      <c r="G143" s="17"/>
      <c r="I143" s="122"/>
      <c r="J143" s="122"/>
      <c r="K143" s="122"/>
      <c r="L143" s="23"/>
      <c r="M143" s="23"/>
    </row>
    <row r="144" spans="1:16" x14ac:dyDescent="0.25">
      <c r="J144" s="123"/>
      <c r="K144" s="123"/>
      <c r="L144" s="22"/>
      <c r="M144" s="22"/>
    </row>
  </sheetData>
  <mergeCells count="3">
    <mergeCell ref="A142:F142"/>
    <mergeCell ref="I143:K143"/>
    <mergeCell ref="J144:K14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greaterThan" id="{7F9B028B-6BC4-484A-915D-E8B2B5908506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N2:N9 N138</xm:sqref>
        </x14:conditionalFormatting>
        <x14:conditionalFormatting xmlns:xm="http://schemas.microsoft.com/office/excel/2006/main">
          <x14:cfRule type="cellIs" priority="17" operator="greaterThan" id="{1B165567-70F9-4B42-860A-52FE50BEBD5C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N10:N20 N137 N88</xm:sqref>
        </x14:conditionalFormatting>
        <x14:conditionalFormatting xmlns:xm="http://schemas.microsoft.com/office/excel/2006/main">
          <x14:cfRule type="cellIs" priority="16" operator="greaterThan" id="{2996EBDE-A279-4FB6-A31E-258E5C7A4700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N102:N113 N136</xm:sqref>
        </x14:conditionalFormatting>
        <x14:conditionalFormatting xmlns:xm="http://schemas.microsoft.com/office/excel/2006/main">
          <x14:cfRule type="cellIs" priority="15" operator="greaterThan" id="{6AA44300-FF1A-465A-8112-AF0517FBC9C1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N34</xm:sqref>
        </x14:conditionalFormatting>
        <x14:conditionalFormatting xmlns:xm="http://schemas.microsoft.com/office/excel/2006/main">
          <x14:cfRule type="cellIs" priority="14" operator="greaterThan" id="{E934350B-C0D5-4E23-BC5E-C526C096EA27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N21:N33</xm:sqref>
        </x14:conditionalFormatting>
        <x14:conditionalFormatting xmlns:xm="http://schemas.microsoft.com/office/excel/2006/main">
          <x14:cfRule type="cellIs" priority="13" operator="greaterThan" id="{CA1FEADE-EC57-4B87-AB81-820096B69927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N101</xm:sqref>
        </x14:conditionalFormatting>
        <x14:conditionalFormatting xmlns:xm="http://schemas.microsoft.com/office/excel/2006/main">
          <x14:cfRule type="cellIs" priority="12" operator="greaterThan" id="{52656033-C391-407C-88E0-A27ABB33CBBE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N89:N100</xm:sqref>
        </x14:conditionalFormatting>
        <x14:conditionalFormatting xmlns:xm="http://schemas.microsoft.com/office/excel/2006/main">
          <x14:cfRule type="cellIs" priority="11" operator="greaterThan" id="{E972DB8F-F1AC-4E1F-AA65-19C4E79609F3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N139:N141</xm:sqref>
        </x14:conditionalFormatting>
        <x14:conditionalFormatting xmlns:xm="http://schemas.microsoft.com/office/excel/2006/main">
          <x14:cfRule type="cellIs" priority="10" operator="greaterThan" id="{4C60A37F-A39A-49F6-BBB0-F73920CC2306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N48:N54 N82:N87</xm:sqref>
        </x14:conditionalFormatting>
        <x14:conditionalFormatting xmlns:xm="http://schemas.microsoft.com/office/excel/2006/main">
          <x14:cfRule type="cellIs" priority="9" operator="greaterThan" id="{01CB82BA-27C5-4174-8956-5B645F0FD547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N47</xm:sqref>
        </x14:conditionalFormatting>
        <x14:conditionalFormatting xmlns:xm="http://schemas.microsoft.com/office/excel/2006/main">
          <x14:cfRule type="cellIs" priority="8" operator="greaterThan" id="{6C77FBE6-3641-4F68-979A-9B0FEA4EF21B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N35:N46</xm:sqref>
        </x14:conditionalFormatting>
        <x14:conditionalFormatting xmlns:xm="http://schemas.microsoft.com/office/excel/2006/main">
          <x14:cfRule type="cellIs" priority="7" operator="greaterThan" id="{21CD9D75-CAB3-4361-A6DB-28528D69C889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N115 N125:N135</xm:sqref>
        </x14:conditionalFormatting>
        <x14:conditionalFormatting xmlns:xm="http://schemas.microsoft.com/office/excel/2006/main">
          <x14:cfRule type="cellIs" priority="6" operator="greaterThan" id="{B9F7AECA-3542-43BB-A6EC-606A05FAF782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N114</xm:sqref>
        </x14:conditionalFormatting>
        <x14:conditionalFormatting xmlns:xm="http://schemas.microsoft.com/office/excel/2006/main">
          <x14:cfRule type="cellIs" priority="5" operator="greaterThan" id="{14A61A29-2AEB-44C6-B78B-D727C6D8BEC0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N116:N124</xm:sqref>
        </x14:conditionalFormatting>
        <x14:conditionalFormatting xmlns:xm="http://schemas.microsoft.com/office/excel/2006/main">
          <x14:cfRule type="cellIs" priority="4" operator="greaterThan" id="{F260DD95-6D2B-4495-9D6F-A152EC5BA47C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N55</xm:sqref>
        </x14:conditionalFormatting>
        <x14:conditionalFormatting xmlns:xm="http://schemas.microsoft.com/office/excel/2006/main">
          <x14:cfRule type="cellIs" priority="3" operator="greaterThan" id="{7977E60C-7AAC-44FC-B99C-4EE5EDF8CF72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N69</xm:sqref>
        </x14:conditionalFormatting>
        <x14:conditionalFormatting xmlns:xm="http://schemas.microsoft.com/office/excel/2006/main">
          <x14:cfRule type="cellIs" priority="2" operator="greaterThan" id="{7289D7AA-23E9-40B4-A9BA-80DCF8E88955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N56:N68</xm:sqref>
        </x14:conditionalFormatting>
        <x14:conditionalFormatting xmlns:xm="http://schemas.microsoft.com/office/excel/2006/main">
          <x14:cfRule type="cellIs" priority="1" operator="greaterThan" id="{190D4DFE-E063-47C9-9B81-BDD0393319C2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N70:N81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zoomScale="80" zoomScaleNormal="80" workbookViewId="0">
      <selection activeCell="H2" sqref="H2:H9"/>
    </sheetView>
  </sheetViews>
  <sheetFormatPr defaultRowHeight="15.75" x14ac:dyDescent="0.25"/>
  <cols>
    <col min="1" max="1" width="18.875" customWidth="1"/>
    <col min="2" max="2" width="36" customWidth="1"/>
    <col min="3" max="3" width="26.625" customWidth="1"/>
    <col min="4" max="5" width="11.25" customWidth="1"/>
    <col min="6" max="6" width="10.625" customWidth="1"/>
    <col min="8" max="9" width="10.125" customWidth="1"/>
    <col min="10" max="11" width="14.25" customWidth="1"/>
    <col min="12" max="12" width="14.625" customWidth="1"/>
    <col min="13" max="13" width="16.25" customWidth="1"/>
    <col min="14" max="14" width="15.625" customWidth="1"/>
  </cols>
  <sheetData>
    <row r="1" spans="1:14" ht="96" customHeight="1" x14ac:dyDescent="0.25">
      <c r="A1" s="13" t="s">
        <v>26</v>
      </c>
      <c r="B1" s="13" t="s">
        <v>27</v>
      </c>
      <c r="C1" s="13" t="s">
        <v>9</v>
      </c>
      <c r="D1" s="14" t="s">
        <v>8</v>
      </c>
      <c r="E1" s="14" t="s">
        <v>45</v>
      </c>
      <c r="F1" s="14" t="s">
        <v>31</v>
      </c>
      <c r="G1" s="14" t="s">
        <v>28</v>
      </c>
      <c r="H1" s="15" t="s">
        <v>32</v>
      </c>
      <c r="I1" s="16" t="s">
        <v>29</v>
      </c>
      <c r="J1" s="16" t="s">
        <v>46</v>
      </c>
      <c r="K1" s="30" t="s">
        <v>47</v>
      </c>
      <c r="L1" s="16" t="s">
        <v>36</v>
      </c>
      <c r="M1" s="16" t="s">
        <v>53</v>
      </c>
      <c r="N1" s="26" t="s">
        <v>48</v>
      </c>
    </row>
    <row r="2" spans="1:14" x14ac:dyDescent="0.25">
      <c r="A2" s="3" t="s">
        <v>1</v>
      </c>
      <c r="B2" s="3"/>
      <c r="C2" s="3" t="s">
        <v>5</v>
      </c>
      <c r="D2" s="18"/>
      <c r="E2" s="18"/>
      <c r="F2" s="19"/>
      <c r="G2" s="19"/>
      <c r="H2" s="20"/>
      <c r="I2" s="4">
        <f>HLOOKUP($C2,'Параметры ПФ'!$F$8:$K$13,6,FALSE)*'Параметры ПФ'!$G$24</f>
        <v>77.97</v>
      </c>
      <c r="J2" s="4">
        <f>IF(H2=0,I2*F2*E2,IF(I2&gt;H2,H2*F2*E2,I2*F2*E2))</f>
        <v>0</v>
      </c>
      <c r="K2" s="5">
        <f>IF(J2&lt;'Параметры ПФ'!$J$3+0.01,'Дистанционные программы'!J2,ROUNDDOWN('Параметры ПФ'!$J$3/IF(H2=0,I2,IF(I2&gt;H2,H2,I2)),0)*IF(H2=0,I2,IF(I2&gt;H2,H2,I2)))</f>
        <v>0</v>
      </c>
      <c r="L2" s="4">
        <f>K2*G2</f>
        <v>0</v>
      </c>
      <c r="M2" s="35">
        <f>IF(J2&lt;'Параметры ПФ'!$J$3+0.01,E2*F2*G2,ROUNDDOWN('Параметры ПФ'!$J$3/IF(H2=0,I2,IF(I2&gt;H2,H2,I2)),0)*G2)</f>
        <v>0</v>
      </c>
      <c r="N2" s="27">
        <f>IF(H2=0,I2*F2*E2,IF(I2&gt;H2,H2*F2*E2,I2*F2*E2))-K2</f>
        <v>0</v>
      </c>
    </row>
    <row r="3" spans="1:14" x14ac:dyDescent="0.25">
      <c r="A3" s="3" t="s">
        <v>1</v>
      </c>
      <c r="B3" s="3"/>
      <c r="C3" s="3" t="s">
        <v>5</v>
      </c>
      <c r="D3" s="18"/>
      <c r="E3" s="18"/>
      <c r="F3" s="19"/>
      <c r="G3" s="19"/>
      <c r="H3" s="20"/>
      <c r="I3" s="4">
        <f>HLOOKUP($C3,'Параметры ПФ'!$F$8:$K$13,6,FALSE)*'Параметры ПФ'!$G$24</f>
        <v>77.97</v>
      </c>
      <c r="J3" s="4">
        <f>IF(H3=0,I3*F3*E3,IF(I3&gt;H3,H3*F3*E3,I3*F3*E3))</f>
        <v>0</v>
      </c>
      <c r="K3" s="5">
        <f>IF(J3&lt;'Параметры ПФ'!$J$3+0.01,'Дистанционные программы'!J3,ROUNDDOWN('Параметры ПФ'!$J$3/IF(H3=0,I3,IF(I3&gt;H3,H3,I3)),0)*IF(H3=0,I3,IF(I3&gt;H3,H3,I3)))</f>
        <v>0</v>
      </c>
      <c r="L3" s="4">
        <f t="shared" ref="L3:L8" si="0">K3*G3</f>
        <v>0</v>
      </c>
      <c r="M3" s="35">
        <f>IF(J3&lt;'Параметры ПФ'!$J$3+0.01,E3*F3*G3,ROUNDDOWN('Параметры ПФ'!$J$3/IF(H3=0,I3,IF(I3&gt;H3,H3,I3)),0)*G3)</f>
        <v>0</v>
      </c>
      <c r="N3" s="27">
        <f>IF(H3=0,I3*F3*E3,IF(I3&gt;H3,H3*F3*E3,I3*F3*E3))-K3</f>
        <v>0</v>
      </c>
    </row>
    <row r="4" spans="1:14" x14ac:dyDescent="0.25">
      <c r="A4" s="3" t="s">
        <v>2</v>
      </c>
      <c r="B4" s="3"/>
      <c r="C4" s="3" t="s">
        <v>5</v>
      </c>
      <c r="D4" s="18"/>
      <c r="E4" s="18"/>
      <c r="F4" s="19"/>
      <c r="G4" s="19"/>
      <c r="H4" s="20"/>
      <c r="I4" s="4">
        <f>HLOOKUP($C4,'Параметры ПФ'!$F$8:$K$13,6,FALSE)*'Параметры ПФ'!$G$24</f>
        <v>77.97</v>
      </c>
      <c r="J4" s="4">
        <f>IF(H4=0,I4*F4*E4,IF(I4&gt;H4,H4*F4*E4,I4*F4*E4))</f>
        <v>0</v>
      </c>
      <c r="K4" s="5">
        <f>IF(J4&lt;'Параметры ПФ'!$J$3+0.01,'Дистанционные программы'!J4,ROUNDDOWN('Параметры ПФ'!$J$3/IF(H4=0,I4,IF(I4&gt;H4,H4,I4)),0)*IF(H4=0,I4,IF(I4&gt;H4,H4,I4)))</f>
        <v>0</v>
      </c>
      <c r="L4" s="4">
        <f t="shared" si="0"/>
        <v>0</v>
      </c>
      <c r="M4" s="35">
        <f>IF(J4&lt;'Параметры ПФ'!$J$3+0.01,E4*F4*G4,ROUNDDOWN('Параметры ПФ'!$J$3/IF(H4=0,I4,IF(I4&gt;H4,H4,I4)),0)*G4)</f>
        <v>0</v>
      </c>
      <c r="N4" s="27">
        <f>IF(H4=0,I4*F4*E4,IF(I4&gt;H4,H4*F4*E4,I4*F4*E4))-K4</f>
        <v>0</v>
      </c>
    </row>
    <row r="5" spans="1:14" x14ac:dyDescent="0.25">
      <c r="A5" s="3" t="s">
        <v>1</v>
      </c>
      <c r="B5" s="3"/>
      <c r="C5" s="3" t="s">
        <v>4</v>
      </c>
      <c r="D5" s="18"/>
      <c r="E5" s="18"/>
      <c r="F5" s="19"/>
      <c r="G5" s="19"/>
      <c r="H5" s="20"/>
      <c r="I5" s="4">
        <f>HLOOKUP($C5,'Параметры ПФ'!$F$8:$K$13,6,FALSE)*'Параметры ПФ'!$G$24</f>
        <v>77.97</v>
      </c>
      <c r="J5" s="4">
        <f t="shared" ref="J5:J8" si="1">IF(H5=0,I5*F5*E5,IF(I5&gt;H5,H5*F5*E5,I5*F5*E5))</f>
        <v>0</v>
      </c>
      <c r="K5" s="5">
        <f>IF(J5&lt;'Параметры ПФ'!$J$3+0.01,'Дистанционные программы'!J5,ROUNDDOWN('Параметры ПФ'!$J$3/IF(H5=0,I5,IF(I5&gt;H5,H5,I5)),0)*IF(H5=0,I5,IF(I5&gt;H5,H5,I5)))</f>
        <v>0</v>
      </c>
      <c r="L5" s="4">
        <f t="shared" si="0"/>
        <v>0</v>
      </c>
      <c r="M5" s="35">
        <f>IF(J5&lt;'Параметры ПФ'!$J$3+0.01,E5*F5*G5,ROUNDDOWN('Параметры ПФ'!$J$3/IF(H5=0,I5,IF(I5&gt;H5,H5,I5)),0)*G5)</f>
        <v>0</v>
      </c>
      <c r="N5" s="27">
        <f t="shared" ref="N5:N8" si="2">IF(H5=0,I5*F5*E5,IF(I5&gt;H5,H5*F5*E5,I5*F5*E5))-K5</f>
        <v>0</v>
      </c>
    </row>
    <row r="6" spans="1:14" x14ac:dyDescent="0.25">
      <c r="A6" s="3" t="s">
        <v>2</v>
      </c>
      <c r="B6" s="3"/>
      <c r="C6" s="3" t="s">
        <v>4</v>
      </c>
      <c r="D6" s="18"/>
      <c r="E6" s="18"/>
      <c r="F6" s="19"/>
      <c r="G6" s="19"/>
      <c r="H6" s="20"/>
      <c r="I6" s="4">
        <f>HLOOKUP($C6,'Параметры ПФ'!$F$8:$K$13,6,FALSE)*'Параметры ПФ'!$G$24</f>
        <v>77.97</v>
      </c>
      <c r="J6" s="4">
        <f t="shared" si="1"/>
        <v>0</v>
      </c>
      <c r="K6" s="5">
        <f>IF(J6&lt;'Параметры ПФ'!$J$3+0.01,'Дистанционные программы'!J6,ROUNDDOWN('Параметры ПФ'!$J$3/IF(H6=0,I6,IF(I6&gt;H6,H6,I6)),0)*IF(H6=0,I6,IF(I6&gt;H6,H6,I6)))</f>
        <v>0</v>
      </c>
      <c r="L6" s="4">
        <f t="shared" si="0"/>
        <v>0</v>
      </c>
      <c r="M6" s="35">
        <f>IF(J6&lt;'Параметры ПФ'!$J$3+0.01,E6*F6*G6,ROUNDDOWN('Параметры ПФ'!$J$3/IF(H6=0,I6,IF(I6&gt;H6,H6,I6)),0)*G6)</f>
        <v>0</v>
      </c>
      <c r="N6" s="27">
        <f t="shared" si="2"/>
        <v>0</v>
      </c>
    </row>
    <row r="7" spans="1:14" x14ac:dyDescent="0.25">
      <c r="A7" s="3" t="s">
        <v>2</v>
      </c>
      <c r="B7" s="3"/>
      <c r="C7" s="3" t="s">
        <v>4</v>
      </c>
      <c r="D7" s="18"/>
      <c r="E7" s="18"/>
      <c r="F7" s="19"/>
      <c r="G7" s="19"/>
      <c r="H7" s="20"/>
      <c r="I7" s="4">
        <f>HLOOKUP($C7,'Параметры ПФ'!$F$8:$K$13,6,FALSE)*'Параметры ПФ'!$G$24</f>
        <v>77.97</v>
      </c>
      <c r="J7" s="4">
        <f t="shared" si="1"/>
        <v>0</v>
      </c>
      <c r="K7" s="5">
        <f>IF(J7&lt;'Параметры ПФ'!$J$3+0.01,'Дистанционные программы'!J7,ROUNDDOWN('Параметры ПФ'!$J$3/IF(H7=0,I7,IF(I7&gt;H7,H7,I7)),0)*IF(H7=0,I7,IF(I7&gt;H7,H7,I7)))</f>
        <v>0</v>
      </c>
      <c r="L7" s="4">
        <f t="shared" si="0"/>
        <v>0</v>
      </c>
      <c r="M7" s="35">
        <f>IF(J7&lt;'Параметры ПФ'!$J$3+0.01,E7*F7*G7,ROUNDDOWN('Параметры ПФ'!$J$3/IF(H7=0,I7,IF(I7&gt;H7,H7,I7)),0)*G7)</f>
        <v>0</v>
      </c>
      <c r="N7" s="27">
        <f t="shared" si="2"/>
        <v>0</v>
      </c>
    </row>
    <row r="8" spans="1:14" x14ac:dyDescent="0.25">
      <c r="A8" s="3" t="s">
        <v>38</v>
      </c>
      <c r="B8" s="3"/>
      <c r="C8" s="3" t="s">
        <v>4</v>
      </c>
      <c r="D8" s="18"/>
      <c r="E8" s="18"/>
      <c r="F8" s="19"/>
      <c r="G8" s="19"/>
      <c r="H8" s="20"/>
      <c r="I8" s="4">
        <f>HLOOKUP($C8,'Параметры ПФ'!$F$8:$K$13,6,FALSE)*'Параметры ПФ'!$G$24</f>
        <v>77.97</v>
      </c>
      <c r="J8" s="4">
        <f t="shared" si="1"/>
        <v>0</v>
      </c>
      <c r="K8" s="5">
        <f>IF(J8&lt;'Параметры ПФ'!$J$3+0.01,'Дистанционные программы'!J8,ROUNDDOWN('Параметры ПФ'!$J$3/IF(H8=0,I8,IF(I8&gt;H8,H8,I8)),0)*IF(H8=0,I8,IF(I8&gt;H8,H8,I8)))</f>
        <v>0</v>
      </c>
      <c r="L8" s="4">
        <f t="shared" si="0"/>
        <v>0</v>
      </c>
      <c r="M8" s="35">
        <f>IF(J8&lt;'Параметры ПФ'!$J$3+0.01,E8*F8*G8,ROUNDDOWN('Параметры ПФ'!$J$3/IF(H8=0,I8,IF(I8&gt;H8,H8,I8)),0)*G8)</f>
        <v>0</v>
      </c>
      <c r="N8" s="27">
        <f t="shared" si="2"/>
        <v>0</v>
      </c>
    </row>
    <row r="9" spans="1:14" x14ac:dyDescent="0.25">
      <c r="A9" s="3" t="s">
        <v>2</v>
      </c>
      <c r="B9" s="3"/>
      <c r="C9" s="3" t="s">
        <v>5</v>
      </c>
      <c r="D9" s="18"/>
      <c r="E9" s="18"/>
      <c r="F9" s="19"/>
      <c r="G9" s="19"/>
      <c r="H9" s="20"/>
      <c r="I9" s="4">
        <f>HLOOKUP($C9,'Параметры ПФ'!$F$8:$K$13,6,FALSE)*'Параметры ПФ'!$G$24</f>
        <v>77.97</v>
      </c>
      <c r="J9" s="4">
        <f t="shared" ref="J9:J38" si="3">IF(H9=0,I9*F9*E9,IF(I9&gt;H9,H9*F9*E9,I9*F9*E9))</f>
        <v>0</v>
      </c>
      <c r="K9" s="5">
        <f>IF(J9&lt;'Параметры ПФ'!$J$3+0.01,'Дистанционные программы'!J9,ROUNDDOWN('Параметры ПФ'!$J$3/IF(H9=0,I9,IF(I9&gt;H9,H9,I9)),0)*IF(H9=0,I9,IF(I9&gt;H9,H9,I9)))</f>
        <v>0</v>
      </c>
      <c r="L9" s="4">
        <f t="shared" ref="L9:L38" si="4">K9*G9</f>
        <v>0</v>
      </c>
      <c r="M9" s="35">
        <f>IF(J9&lt;'Параметры ПФ'!$J$3+0.01,E9*F9*G9,ROUNDDOWN('Параметры ПФ'!$J$3/IF(H9=0,I9,IF(I9&gt;H9,H9,I9)),0)*G9)</f>
        <v>0</v>
      </c>
      <c r="N9" s="27">
        <f t="shared" ref="N9:N38" si="5">IF(H9=0,I9*F9*E9,IF(I9&gt;H9,H9*F9*E9,I9*F9*E9))-K9</f>
        <v>0</v>
      </c>
    </row>
    <row r="10" spans="1:14" x14ac:dyDescent="0.25">
      <c r="A10" s="3" t="s">
        <v>2</v>
      </c>
      <c r="B10" s="3"/>
      <c r="C10" s="3" t="s">
        <v>5</v>
      </c>
      <c r="D10" s="18"/>
      <c r="E10" s="18"/>
      <c r="F10" s="19"/>
      <c r="G10" s="19"/>
      <c r="H10" s="20"/>
      <c r="I10" s="4">
        <f>HLOOKUP($C10,'Параметры ПФ'!$F$8:$K$13,6,FALSE)*'Параметры ПФ'!$G$24</f>
        <v>77.97</v>
      </c>
      <c r="J10" s="4">
        <f t="shared" si="3"/>
        <v>0</v>
      </c>
      <c r="K10" s="5">
        <f>IF(J10&lt;'Параметры ПФ'!$J$3+0.01,'Дистанционные программы'!J10,ROUNDDOWN('Параметры ПФ'!$J$3/IF(H10=0,I10,IF(I10&gt;H10,H10,I10)),0)*IF(H10=0,I10,IF(I10&gt;H10,H10,I10)))</f>
        <v>0</v>
      </c>
      <c r="L10" s="4">
        <f t="shared" si="4"/>
        <v>0</v>
      </c>
      <c r="M10" s="35">
        <f>IF(J10&lt;'Параметры ПФ'!$J$3+0.01,E10*F10*G10,ROUNDDOWN('Параметры ПФ'!$J$3/IF(H10=0,I10,IF(I10&gt;H10,H10,I10)),0)*G10)</f>
        <v>0</v>
      </c>
      <c r="N10" s="27">
        <f t="shared" si="5"/>
        <v>0</v>
      </c>
    </row>
    <row r="11" spans="1:14" x14ac:dyDescent="0.25">
      <c r="A11" s="3" t="s">
        <v>2</v>
      </c>
      <c r="B11" s="3"/>
      <c r="C11" s="3" t="s">
        <v>5</v>
      </c>
      <c r="D11" s="18"/>
      <c r="E11" s="18"/>
      <c r="F11" s="19"/>
      <c r="G11" s="19"/>
      <c r="H11" s="20"/>
      <c r="I11" s="4">
        <f>HLOOKUP($C11,'Параметры ПФ'!$F$8:$K$13,6,FALSE)*'Параметры ПФ'!$G$24</f>
        <v>77.97</v>
      </c>
      <c r="J11" s="4">
        <f t="shared" si="3"/>
        <v>0</v>
      </c>
      <c r="K11" s="5">
        <f>IF(J11&lt;'Параметры ПФ'!$S$12+0.01,'Дистанционные программы'!J11,ROUNDDOWN('Параметры ПФ'!$J$3/IF(H11=0,I11,IF(I11&gt;H11,H11,I11)),0)*IF(H11=0,I11,IF(I11&gt;H11,H11,I11)))</f>
        <v>0</v>
      </c>
      <c r="L11" s="4">
        <f t="shared" si="4"/>
        <v>0</v>
      </c>
      <c r="M11" s="35">
        <f>IF(J11&lt;'Параметры ПФ'!$J$3+0.01,E11*F11*G11,ROUNDDOWN('Параметры ПФ'!$J$3/IF(H11=0,I11,IF(I11&gt;H11,H11,I11)),0)*G11)</f>
        <v>0</v>
      </c>
      <c r="N11" s="27">
        <f t="shared" si="5"/>
        <v>0</v>
      </c>
    </row>
    <row r="12" spans="1:14" x14ac:dyDescent="0.25">
      <c r="A12" s="3" t="s">
        <v>2</v>
      </c>
      <c r="B12" s="3"/>
      <c r="C12" s="3" t="s">
        <v>5</v>
      </c>
      <c r="D12" s="18"/>
      <c r="E12" s="18"/>
      <c r="F12" s="19"/>
      <c r="G12" s="19"/>
      <c r="H12" s="20"/>
      <c r="I12" s="4">
        <f>HLOOKUP($C12,'Параметры ПФ'!$F$8:$K$13,6,FALSE)*'Параметры ПФ'!$G$24</f>
        <v>77.97</v>
      </c>
      <c r="J12" s="4">
        <f t="shared" si="3"/>
        <v>0</v>
      </c>
      <c r="K12" s="5">
        <f>IF(J12&lt;'Параметры ПФ'!$S$12+0.01,'Дистанционные программы'!J12,ROUNDDOWN('Параметры ПФ'!$J$3/IF(H12=0,I12,IF(I12&gt;H12,H12,I12)),0)*IF(H12=0,I12,IF(I12&gt;H12,H12,I12)))</f>
        <v>0</v>
      </c>
      <c r="L12" s="4">
        <f t="shared" si="4"/>
        <v>0</v>
      </c>
      <c r="M12" s="35">
        <f>IF(J12&lt;'Параметры ПФ'!$J$3+0.01,E12*F12*G12,ROUNDDOWN('Параметры ПФ'!$J$3/IF(H12=0,I12,IF(I12&gt;H12,H12,I12)),0)*G12)</f>
        <v>0</v>
      </c>
      <c r="N12" s="27">
        <f t="shared" si="5"/>
        <v>0</v>
      </c>
    </row>
    <row r="13" spans="1:14" x14ac:dyDescent="0.25">
      <c r="A13" s="3" t="s">
        <v>2</v>
      </c>
      <c r="B13" s="3"/>
      <c r="C13" s="3" t="s">
        <v>5</v>
      </c>
      <c r="D13" s="18"/>
      <c r="E13" s="18"/>
      <c r="F13" s="19"/>
      <c r="G13" s="19"/>
      <c r="H13" s="20"/>
      <c r="I13" s="4">
        <f>HLOOKUP($C13,'Параметры ПФ'!$F$8:$K$13,6,FALSE)*'Параметры ПФ'!$G$24</f>
        <v>77.97</v>
      </c>
      <c r="J13" s="4">
        <f t="shared" si="3"/>
        <v>0</v>
      </c>
      <c r="K13" s="5">
        <f>IF(J13&lt;'Параметры ПФ'!$S$12+0.01,'Дистанционные программы'!J13,ROUNDDOWN('Параметры ПФ'!$J$3/IF(H13=0,I13,IF(I13&gt;H13,H13,I13)),0)*IF(H13=0,I13,IF(I13&gt;H13,H13,I13)))</f>
        <v>0</v>
      </c>
      <c r="L13" s="4">
        <f t="shared" si="4"/>
        <v>0</v>
      </c>
      <c r="M13" s="35">
        <f>IF(J13&lt;'Параметры ПФ'!$J$3+0.01,E13*F13*G13,ROUNDDOWN('Параметры ПФ'!$J$3/IF(H13=0,I13,IF(I13&gt;H13,H13,I13)),0)*G13)</f>
        <v>0</v>
      </c>
      <c r="N13" s="27">
        <f t="shared" si="5"/>
        <v>0</v>
      </c>
    </row>
    <row r="14" spans="1:14" x14ac:dyDescent="0.25">
      <c r="A14" s="3" t="s">
        <v>2</v>
      </c>
      <c r="B14" s="3"/>
      <c r="C14" s="3" t="s">
        <v>5</v>
      </c>
      <c r="D14" s="18"/>
      <c r="E14" s="18"/>
      <c r="F14" s="19"/>
      <c r="G14" s="19"/>
      <c r="H14" s="20"/>
      <c r="I14" s="4">
        <f>HLOOKUP($C14,'Параметры ПФ'!$F$8:$K$13,6,FALSE)*'Параметры ПФ'!$G$24</f>
        <v>77.97</v>
      </c>
      <c r="J14" s="4">
        <f t="shared" si="3"/>
        <v>0</v>
      </c>
      <c r="K14" s="5">
        <f>IF(J14&lt;'Параметры ПФ'!$S$12+0.01,'Дистанционные программы'!J14,ROUNDDOWN('Параметры ПФ'!$J$3/IF(H14=0,I14,IF(I14&gt;H14,H14,I14)),0)*IF(H14=0,I14,IF(I14&gt;H14,H14,I14)))</f>
        <v>0</v>
      </c>
      <c r="L14" s="4">
        <f t="shared" si="4"/>
        <v>0</v>
      </c>
      <c r="M14" s="35">
        <f>IF(J14&lt;'Параметры ПФ'!$J$3+0.01,E14*F14*G14,ROUNDDOWN('Параметры ПФ'!$J$3/IF(H14=0,I14,IF(I14&gt;H14,H14,I14)),0)*G14)</f>
        <v>0</v>
      </c>
      <c r="N14" s="27">
        <f t="shared" si="5"/>
        <v>0</v>
      </c>
    </row>
    <row r="15" spans="1:14" x14ac:dyDescent="0.25">
      <c r="A15" s="3" t="s">
        <v>2</v>
      </c>
      <c r="B15" s="3"/>
      <c r="C15" s="3" t="s">
        <v>5</v>
      </c>
      <c r="D15" s="18"/>
      <c r="E15" s="18"/>
      <c r="F15" s="19"/>
      <c r="G15" s="19"/>
      <c r="H15" s="20"/>
      <c r="I15" s="4">
        <f>HLOOKUP($C15,'Параметры ПФ'!$F$8:$K$13,6,FALSE)*'Параметры ПФ'!$G$24</f>
        <v>77.97</v>
      </c>
      <c r="J15" s="4">
        <f t="shared" si="3"/>
        <v>0</v>
      </c>
      <c r="K15" s="5">
        <f>IF(J15&lt;'Параметры ПФ'!$S$12+0.01,'Дистанционные программы'!J15,ROUNDDOWN('Параметры ПФ'!$J$3/IF(H15=0,I15,IF(I15&gt;H15,H15,I15)),0)*IF(H15=0,I15,IF(I15&gt;H15,H15,I15)))</f>
        <v>0</v>
      </c>
      <c r="L15" s="4">
        <f t="shared" si="4"/>
        <v>0</v>
      </c>
      <c r="M15" s="35">
        <f>IF(J15&lt;'Параметры ПФ'!$J$3+0.01,E15*F15*G15,ROUNDDOWN('Параметры ПФ'!$J$3/IF(H15=0,I15,IF(I15&gt;H15,H15,I15)),0)*G15)</f>
        <v>0</v>
      </c>
      <c r="N15" s="27">
        <f t="shared" si="5"/>
        <v>0</v>
      </c>
    </row>
    <row r="16" spans="1:14" x14ac:dyDescent="0.25">
      <c r="A16" s="3" t="s">
        <v>2</v>
      </c>
      <c r="B16" s="3"/>
      <c r="C16" s="3" t="s">
        <v>5</v>
      </c>
      <c r="D16" s="18"/>
      <c r="E16" s="18"/>
      <c r="F16" s="19"/>
      <c r="G16" s="19"/>
      <c r="H16" s="20"/>
      <c r="I16" s="4">
        <f>HLOOKUP($C16,'Параметры ПФ'!$F$8:$K$13,6,FALSE)*'Параметры ПФ'!$G$24</f>
        <v>77.97</v>
      </c>
      <c r="J16" s="4">
        <f t="shared" si="3"/>
        <v>0</v>
      </c>
      <c r="K16" s="5">
        <f>IF(J16&lt;'Параметры ПФ'!$S$12+0.01,'Дистанционные программы'!J16,ROUNDDOWN('Параметры ПФ'!$J$3/IF(H16=0,I16,IF(I16&gt;H16,H16,I16)),0)*IF(H16=0,I16,IF(I16&gt;H16,H16,I16)))</f>
        <v>0</v>
      </c>
      <c r="L16" s="4">
        <f t="shared" si="4"/>
        <v>0</v>
      </c>
      <c r="M16" s="35">
        <f>IF(J16&lt;'Параметры ПФ'!$J$3+0.01,E16*F16*G16,ROUNDDOWN('Параметры ПФ'!$J$3/IF(H16=0,I16,IF(I16&gt;H16,H16,I16)),0)*G16)</f>
        <v>0</v>
      </c>
      <c r="N16" s="27">
        <f t="shared" si="5"/>
        <v>0</v>
      </c>
    </row>
    <row r="17" spans="1:14" x14ac:dyDescent="0.25">
      <c r="A17" s="3" t="s">
        <v>2</v>
      </c>
      <c r="B17" s="3"/>
      <c r="C17" s="3" t="s">
        <v>5</v>
      </c>
      <c r="D17" s="18"/>
      <c r="E17" s="18"/>
      <c r="F17" s="19"/>
      <c r="G17" s="19"/>
      <c r="H17" s="20"/>
      <c r="I17" s="4">
        <f>HLOOKUP($C17,'Параметры ПФ'!$F$8:$K$13,6,FALSE)*'Параметры ПФ'!$G$24</f>
        <v>77.97</v>
      </c>
      <c r="J17" s="4">
        <f t="shared" si="3"/>
        <v>0</v>
      </c>
      <c r="K17" s="5">
        <f>IF(J17&lt;'Параметры ПФ'!$S$12+0.01,'Дистанционные программы'!J17,ROUNDDOWN('Параметры ПФ'!$J$3/IF(H17=0,I17,IF(I17&gt;H17,H17,I17)),0)*IF(H17=0,I17,IF(I17&gt;H17,H17,I17)))</f>
        <v>0</v>
      </c>
      <c r="L17" s="4">
        <f t="shared" si="4"/>
        <v>0</v>
      </c>
      <c r="M17" s="35">
        <f>IF(J17&lt;'Параметры ПФ'!$J$3+0.01,E17*F17*G17,ROUNDDOWN('Параметры ПФ'!$J$3/IF(H17=0,I17,IF(I17&gt;H17,H17,I17)),0)*G17)</f>
        <v>0</v>
      </c>
      <c r="N17" s="27">
        <f t="shared" si="5"/>
        <v>0</v>
      </c>
    </row>
    <row r="18" spans="1:14" x14ac:dyDescent="0.25">
      <c r="A18" s="3" t="s">
        <v>2</v>
      </c>
      <c r="B18" s="3"/>
      <c r="C18" s="3" t="s">
        <v>5</v>
      </c>
      <c r="D18" s="18"/>
      <c r="E18" s="18"/>
      <c r="F18" s="19"/>
      <c r="G18" s="19"/>
      <c r="H18" s="20"/>
      <c r="I18" s="4">
        <f>HLOOKUP($C18,'Параметры ПФ'!$F$8:$K$13,6,FALSE)*'Параметры ПФ'!$G$24</f>
        <v>77.97</v>
      </c>
      <c r="J18" s="4">
        <f t="shared" si="3"/>
        <v>0</v>
      </c>
      <c r="K18" s="5">
        <f>IF(J18&lt;'Параметры ПФ'!$S$12+0.01,'Дистанционные программы'!J18,ROUNDDOWN('Параметры ПФ'!$J$3/IF(H18=0,I18,IF(I18&gt;H18,H18,I18)),0)*IF(H18=0,I18,IF(I18&gt;H18,H18,I18)))</f>
        <v>0</v>
      </c>
      <c r="L18" s="4">
        <f t="shared" si="4"/>
        <v>0</v>
      </c>
      <c r="M18" s="35">
        <f>IF(J18&lt;'Параметры ПФ'!$J$3+0.01,E18*F18*G18,ROUNDDOWN('Параметры ПФ'!$J$3/IF(H18=0,I18,IF(I18&gt;H18,H18,I18)),0)*G18)</f>
        <v>0</v>
      </c>
      <c r="N18" s="27">
        <f t="shared" si="5"/>
        <v>0</v>
      </c>
    </row>
    <row r="19" spans="1:14" x14ac:dyDescent="0.25">
      <c r="A19" s="3" t="s">
        <v>2</v>
      </c>
      <c r="B19" s="3"/>
      <c r="C19" s="3" t="s">
        <v>5</v>
      </c>
      <c r="D19" s="18"/>
      <c r="E19" s="18"/>
      <c r="F19" s="19"/>
      <c r="G19" s="19"/>
      <c r="H19" s="20"/>
      <c r="I19" s="4">
        <f>HLOOKUP($C19,'Параметры ПФ'!$F$8:$K$13,6,FALSE)*'Параметры ПФ'!$G$24</f>
        <v>77.97</v>
      </c>
      <c r="J19" s="4">
        <f t="shared" si="3"/>
        <v>0</v>
      </c>
      <c r="K19" s="5">
        <f>IF(J19&lt;'Параметры ПФ'!$S$12+0.01,'Дистанционные программы'!J19,ROUNDDOWN('Параметры ПФ'!$J$3/IF(H19=0,I19,IF(I19&gt;H19,H19,I19)),0)*IF(H19=0,I19,IF(I19&gt;H19,H19,I19)))</f>
        <v>0</v>
      </c>
      <c r="L19" s="4">
        <f t="shared" si="4"/>
        <v>0</v>
      </c>
      <c r="M19" s="35">
        <f>IF(J19&lt;'Параметры ПФ'!$J$3+0.01,E19*F19*G19,ROUNDDOWN('Параметры ПФ'!$J$3/IF(H19=0,I19,IF(I19&gt;H19,H19,I19)),0)*G19)</f>
        <v>0</v>
      </c>
      <c r="N19" s="27">
        <f t="shared" si="5"/>
        <v>0</v>
      </c>
    </row>
    <row r="20" spans="1:14" x14ac:dyDescent="0.25">
      <c r="A20" s="3" t="s">
        <v>2</v>
      </c>
      <c r="B20" s="3"/>
      <c r="C20" s="3" t="s">
        <v>5</v>
      </c>
      <c r="D20" s="18"/>
      <c r="E20" s="18"/>
      <c r="F20" s="19"/>
      <c r="G20" s="19"/>
      <c r="H20" s="20"/>
      <c r="I20" s="4">
        <f>HLOOKUP($C20,'Параметры ПФ'!$F$8:$K$13,6,FALSE)*'Параметры ПФ'!$G$24</f>
        <v>77.97</v>
      </c>
      <c r="J20" s="4">
        <f t="shared" si="3"/>
        <v>0</v>
      </c>
      <c r="K20" s="5">
        <f>IF(J20&lt;'Параметры ПФ'!$S$12+0.01,'Дистанционные программы'!J20,ROUNDDOWN('Параметры ПФ'!$J$3/IF(H20=0,I20,IF(I20&gt;H20,H20,I20)),0)*IF(H20=0,I20,IF(I20&gt;H20,H20,I20)))</f>
        <v>0</v>
      </c>
      <c r="L20" s="4">
        <f t="shared" si="4"/>
        <v>0</v>
      </c>
      <c r="M20" s="35">
        <f>IF(J20&lt;'Параметры ПФ'!$J$3+0.01,E20*F20*G20,ROUNDDOWN('Параметры ПФ'!$J$3/IF(H20=0,I20,IF(I20&gt;H20,H20,I20)),0)*G20)</f>
        <v>0</v>
      </c>
      <c r="N20" s="27">
        <f t="shared" si="5"/>
        <v>0</v>
      </c>
    </row>
    <row r="21" spans="1:14" x14ac:dyDescent="0.25">
      <c r="A21" s="3" t="s">
        <v>2</v>
      </c>
      <c r="B21" s="3"/>
      <c r="C21" s="3" t="s">
        <v>5</v>
      </c>
      <c r="D21" s="18"/>
      <c r="E21" s="18"/>
      <c r="F21" s="19"/>
      <c r="G21" s="19"/>
      <c r="H21" s="20"/>
      <c r="I21" s="4">
        <f>HLOOKUP($C21,'Параметры ПФ'!$F$8:$K$13,6,FALSE)*'Параметры ПФ'!$G$24</f>
        <v>77.97</v>
      </c>
      <c r="J21" s="4">
        <f t="shared" si="3"/>
        <v>0</v>
      </c>
      <c r="K21" s="5">
        <f>IF(J21&lt;'Параметры ПФ'!$S$12+0.01,'Дистанционные программы'!J21,ROUNDDOWN('Параметры ПФ'!$J$3/IF(H21=0,I21,IF(I21&gt;H21,H21,I21)),0)*IF(H21=0,I21,IF(I21&gt;H21,H21,I21)))</f>
        <v>0</v>
      </c>
      <c r="L21" s="4">
        <f t="shared" si="4"/>
        <v>0</v>
      </c>
      <c r="M21" s="35">
        <f>IF(J21&lt;'Параметры ПФ'!$J$3+0.01,E21*F21*G21,ROUNDDOWN('Параметры ПФ'!$J$3/IF(H21=0,I21,IF(I21&gt;H21,H21,I21)),0)*G21)</f>
        <v>0</v>
      </c>
      <c r="N21" s="27">
        <f t="shared" si="5"/>
        <v>0</v>
      </c>
    </row>
    <row r="22" spans="1:14" x14ac:dyDescent="0.25">
      <c r="A22" s="3" t="s">
        <v>2</v>
      </c>
      <c r="B22" s="3"/>
      <c r="C22" s="3" t="s">
        <v>5</v>
      </c>
      <c r="D22" s="18"/>
      <c r="E22" s="18"/>
      <c r="F22" s="19"/>
      <c r="G22" s="19"/>
      <c r="H22" s="20"/>
      <c r="I22" s="4">
        <f>HLOOKUP($C22,'Параметры ПФ'!$F$8:$K$13,6,FALSE)*'Параметры ПФ'!$G$24</f>
        <v>77.97</v>
      </c>
      <c r="J22" s="4">
        <f t="shared" si="3"/>
        <v>0</v>
      </c>
      <c r="K22" s="5">
        <f>IF(J22&lt;'Параметры ПФ'!$S$12+0.01,'Дистанционные программы'!J22,ROUNDDOWN('Параметры ПФ'!$J$3/IF(H22=0,I22,IF(I22&gt;H22,H22,I22)),0)*IF(H22=0,I22,IF(I22&gt;H22,H22,I22)))</f>
        <v>0</v>
      </c>
      <c r="L22" s="4">
        <f t="shared" si="4"/>
        <v>0</v>
      </c>
      <c r="M22" s="35">
        <f>IF(J22&lt;'Параметры ПФ'!$J$3+0.01,E22*F22*G22,ROUNDDOWN('Параметры ПФ'!$J$3/IF(H22=0,I22,IF(I22&gt;H22,H22,I22)),0)*G22)</f>
        <v>0</v>
      </c>
      <c r="N22" s="27">
        <f t="shared" si="5"/>
        <v>0</v>
      </c>
    </row>
    <row r="23" spans="1:14" x14ac:dyDescent="0.25">
      <c r="A23" s="3" t="s">
        <v>2</v>
      </c>
      <c r="B23" s="3"/>
      <c r="C23" s="3" t="s">
        <v>5</v>
      </c>
      <c r="D23" s="18"/>
      <c r="E23" s="18"/>
      <c r="F23" s="19"/>
      <c r="G23" s="19"/>
      <c r="H23" s="20"/>
      <c r="I23" s="4">
        <f>HLOOKUP($C23,'Параметры ПФ'!$F$8:$K$13,6,FALSE)*'Параметры ПФ'!$G$24</f>
        <v>77.97</v>
      </c>
      <c r="J23" s="4">
        <f t="shared" si="3"/>
        <v>0</v>
      </c>
      <c r="K23" s="5">
        <f>IF(J23&lt;'Параметры ПФ'!$S$12+0.01,'Дистанционные программы'!J23,ROUNDDOWN('Параметры ПФ'!$J$3/IF(H23=0,I23,IF(I23&gt;H23,H23,I23)),0)*IF(H23=0,I23,IF(I23&gt;H23,H23,I23)))</f>
        <v>0</v>
      </c>
      <c r="L23" s="4">
        <f t="shared" si="4"/>
        <v>0</v>
      </c>
      <c r="M23" s="35">
        <f>IF(J23&lt;'Параметры ПФ'!$J$3+0.01,E23*F23*G23,ROUNDDOWN('Параметры ПФ'!$J$3/IF(H23=0,I23,IF(I23&gt;H23,H23,I23)),0)*G23)</f>
        <v>0</v>
      </c>
      <c r="N23" s="27">
        <f t="shared" si="5"/>
        <v>0</v>
      </c>
    </row>
    <row r="24" spans="1:14" x14ac:dyDescent="0.25">
      <c r="A24" s="3" t="s">
        <v>2</v>
      </c>
      <c r="B24" s="3"/>
      <c r="C24" s="3" t="s">
        <v>5</v>
      </c>
      <c r="D24" s="18"/>
      <c r="E24" s="18"/>
      <c r="F24" s="19"/>
      <c r="G24" s="19"/>
      <c r="H24" s="20"/>
      <c r="I24" s="4">
        <f>HLOOKUP($C24,'Параметры ПФ'!$F$8:$K$13,6,FALSE)*'Параметры ПФ'!$G$24</f>
        <v>77.97</v>
      </c>
      <c r="J24" s="4">
        <f t="shared" si="3"/>
        <v>0</v>
      </c>
      <c r="K24" s="5">
        <f>IF(J24&lt;'Параметры ПФ'!$S$12+0.01,'Дистанционные программы'!J24,ROUNDDOWN('Параметры ПФ'!$J$3/IF(H24=0,I24,IF(I24&gt;H24,H24,I24)),0)*IF(H24=0,I24,IF(I24&gt;H24,H24,I24)))</f>
        <v>0</v>
      </c>
      <c r="L24" s="4">
        <f t="shared" si="4"/>
        <v>0</v>
      </c>
      <c r="M24" s="35">
        <f>IF(J24&lt;'Параметры ПФ'!$J$3+0.01,E24*F24*G24,ROUNDDOWN('Параметры ПФ'!$J$3/IF(H24=0,I24,IF(I24&gt;H24,H24,I24)),0)*G24)</f>
        <v>0</v>
      </c>
      <c r="N24" s="27">
        <f t="shared" si="5"/>
        <v>0</v>
      </c>
    </row>
    <row r="25" spans="1:14" x14ac:dyDescent="0.25">
      <c r="A25" s="3" t="s">
        <v>2</v>
      </c>
      <c r="B25" s="3"/>
      <c r="C25" s="3" t="s">
        <v>5</v>
      </c>
      <c r="D25" s="18"/>
      <c r="E25" s="18"/>
      <c r="F25" s="19"/>
      <c r="G25" s="19"/>
      <c r="H25" s="20"/>
      <c r="I25" s="4">
        <f>HLOOKUP($C25,'Параметры ПФ'!$F$8:$K$13,6,FALSE)*'Параметры ПФ'!$G$24</f>
        <v>77.97</v>
      </c>
      <c r="J25" s="4">
        <f t="shared" si="3"/>
        <v>0</v>
      </c>
      <c r="K25" s="5">
        <f>IF(J25&lt;'Параметры ПФ'!$S$12+0.01,'Дистанционные программы'!J25,ROUNDDOWN('Параметры ПФ'!$J$3/IF(H25=0,I25,IF(I25&gt;H25,H25,I25)),0)*IF(H25=0,I25,IF(I25&gt;H25,H25,I25)))</f>
        <v>0</v>
      </c>
      <c r="L25" s="4">
        <f t="shared" si="4"/>
        <v>0</v>
      </c>
      <c r="M25" s="35">
        <f>IF(J25&lt;'Параметры ПФ'!$J$3+0.01,E25*F25*G25,ROUNDDOWN('Параметры ПФ'!$J$3/IF(H25=0,I25,IF(I25&gt;H25,H25,I25)),0)*G25)</f>
        <v>0</v>
      </c>
      <c r="N25" s="27">
        <f t="shared" si="5"/>
        <v>0</v>
      </c>
    </row>
    <row r="26" spans="1:14" x14ac:dyDescent="0.25">
      <c r="A26" s="3" t="s">
        <v>2</v>
      </c>
      <c r="B26" s="3"/>
      <c r="C26" s="3" t="s">
        <v>5</v>
      </c>
      <c r="D26" s="18"/>
      <c r="E26" s="18"/>
      <c r="F26" s="19"/>
      <c r="G26" s="19"/>
      <c r="H26" s="20"/>
      <c r="I26" s="4">
        <f>HLOOKUP($C26,'Параметры ПФ'!$F$8:$K$13,6,FALSE)*'Параметры ПФ'!$G$24</f>
        <v>77.97</v>
      </c>
      <c r="J26" s="4">
        <f t="shared" si="3"/>
        <v>0</v>
      </c>
      <c r="K26" s="5">
        <f>IF(J26&lt;'Параметры ПФ'!$S$12+0.01,'Дистанционные программы'!J26,ROUNDDOWN('Параметры ПФ'!$J$3/IF(H26=0,I26,IF(I26&gt;H26,H26,I26)),0)*IF(H26=0,I26,IF(I26&gt;H26,H26,I26)))</f>
        <v>0</v>
      </c>
      <c r="L26" s="4">
        <f t="shared" si="4"/>
        <v>0</v>
      </c>
      <c r="M26" s="35">
        <f>IF(J26&lt;'Параметры ПФ'!$J$3+0.01,E26*F26*G26,ROUNDDOWN('Параметры ПФ'!$J$3/IF(H26=0,I26,IF(I26&gt;H26,H26,I26)),0)*G26)</f>
        <v>0</v>
      </c>
      <c r="N26" s="27">
        <f t="shared" si="5"/>
        <v>0</v>
      </c>
    </row>
    <row r="27" spans="1:14" x14ac:dyDescent="0.25">
      <c r="A27" s="3" t="s">
        <v>2</v>
      </c>
      <c r="B27" s="3"/>
      <c r="C27" s="3" t="s">
        <v>5</v>
      </c>
      <c r="D27" s="18"/>
      <c r="E27" s="18"/>
      <c r="F27" s="19"/>
      <c r="G27" s="19"/>
      <c r="H27" s="20"/>
      <c r="I27" s="4">
        <f>HLOOKUP($C27,'Параметры ПФ'!$F$8:$K$13,6,FALSE)*'Параметры ПФ'!$G$24</f>
        <v>77.97</v>
      </c>
      <c r="J27" s="4">
        <f t="shared" si="3"/>
        <v>0</v>
      </c>
      <c r="K27" s="5">
        <f>IF(J27&lt;'Параметры ПФ'!$S$12+0.01,'Дистанционные программы'!J27,ROUNDDOWN('Параметры ПФ'!$J$3/IF(H27=0,I27,IF(I27&gt;H27,H27,I27)),0)*IF(H27=0,I27,IF(I27&gt;H27,H27,I27)))</f>
        <v>0</v>
      </c>
      <c r="L27" s="4">
        <f t="shared" si="4"/>
        <v>0</v>
      </c>
      <c r="M27" s="35">
        <f>IF(J27&lt;'Параметры ПФ'!$J$3+0.01,E27*F27*G27,ROUNDDOWN('Параметры ПФ'!$J$3/IF(H27=0,I27,IF(I27&gt;H27,H27,I27)),0)*G27)</f>
        <v>0</v>
      </c>
      <c r="N27" s="27">
        <f t="shared" si="5"/>
        <v>0</v>
      </c>
    </row>
    <row r="28" spans="1:14" x14ac:dyDescent="0.25">
      <c r="A28" s="3" t="s">
        <v>2</v>
      </c>
      <c r="B28" s="3"/>
      <c r="C28" s="3" t="s">
        <v>5</v>
      </c>
      <c r="D28" s="18"/>
      <c r="E28" s="18"/>
      <c r="F28" s="19"/>
      <c r="G28" s="19"/>
      <c r="H28" s="20"/>
      <c r="I28" s="4">
        <f>HLOOKUP($C28,'Параметры ПФ'!$F$8:$K$13,6,FALSE)*'Параметры ПФ'!$G$24</f>
        <v>77.97</v>
      </c>
      <c r="J28" s="4">
        <f t="shared" si="3"/>
        <v>0</v>
      </c>
      <c r="K28" s="5">
        <f>IF(J28&lt;'Параметры ПФ'!$S$12+0.01,'Дистанционные программы'!J28,ROUNDDOWN('Параметры ПФ'!$J$3/IF(H28=0,I28,IF(I28&gt;H28,H28,I28)),0)*IF(H28=0,I28,IF(I28&gt;H28,H28,I28)))</f>
        <v>0</v>
      </c>
      <c r="L28" s="4">
        <f t="shared" si="4"/>
        <v>0</v>
      </c>
      <c r="M28" s="35">
        <f>IF(J28&lt;'Параметры ПФ'!$J$3+0.01,E28*F28*G28,ROUNDDOWN('Параметры ПФ'!$J$3/IF(H28=0,I28,IF(I28&gt;H28,H28,I28)),0)*G28)</f>
        <v>0</v>
      </c>
      <c r="N28" s="27">
        <f t="shared" si="5"/>
        <v>0</v>
      </c>
    </row>
    <row r="29" spans="1:14" x14ac:dyDescent="0.25">
      <c r="A29" s="3" t="s">
        <v>2</v>
      </c>
      <c r="B29" s="3"/>
      <c r="C29" s="3" t="s">
        <v>7</v>
      </c>
      <c r="D29" s="18"/>
      <c r="E29" s="18"/>
      <c r="F29" s="19"/>
      <c r="G29" s="19"/>
      <c r="H29" s="20"/>
      <c r="I29" s="4">
        <f>HLOOKUP($C29,'Параметры ПФ'!$F$8:$K$13,6,FALSE)*'Параметры ПФ'!$G$24</f>
        <v>77.97</v>
      </c>
      <c r="J29" s="4">
        <f t="shared" si="3"/>
        <v>0</v>
      </c>
      <c r="K29" s="5">
        <f>IF(J29&lt;'Параметры ПФ'!$S$12+0.01,'Дистанционные программы'!J29,ROUNDDOWN('Параметры ПФ'!$J$3/IF(H29=0,I29,IF(I29&gt;H29,H29,I29)),0)*IF(H29=0,I29,IF(I29&gt;H29,H29,I29)))</f>
        <v>0</v>
      </c>
      <c r="L29" s="4">
        <f t="shared" si="4"/>
        <v>0</v>
      </c>
      <c r="M29" s="35">
        <f>IF(J29&lt;'Параметры ПФ'!$J$3+0.01,E29*F29*G29,ROUNDDOWN('Параметры ПФ'!$J$3/IF(H29=0,I29,IF(I29&gt;H29,H29,I29)),0)*G29)</f>
        <v>0</v>
      </c>
      <c r="N29" s="27">
        <f t="shared" si="5"/>
        <v>0</v>
      </c>
    </row>
    <row r="30" spans="1:14" x14ac:dyDescent="0.25">
      <c r="A30" s="3" t="s">
        <v>2</v>
      </c>
      <c r="B30" s="3"/>
      <c r="C30" s="3" t="s">
        <v>7</v>
      </c>
      <c r="D30" s="18"/>
      <c r="E30" s="18"/>
      <c r="F30" s="19"/>
      <c r="G30" s="19"/>
      <c r="H30" s="20"/>
      <c r="I30" s="4">
        <f>HLOOKUP($C30,'Параметры ПФ'!$F$8:$K$13,6,FALSE)*'Параметры ПФ'!$G$24</f>
        <v>77.97</v>
      </c>
      <c r="J30" s="4">
        <f t="shared" si="3"/>
        <v>0</v>
      </c>
      <c r="K30" s="5">
        <f>IF(J30&lt;'Параметры ПФ'!$S$12+0.01,'Дистанционные программы'!J30,ROUNDDOWN('Параметры ПФ'!$J$3/IF(H30=0,I30,IF(I30&gt;H30,H30,I30)),0)*IF(H30=0,I30,IF(I30&gt;H30,H30,I30)))</f>
        <v>0</v>
      </c>
      <c r="L30" s="4">
        <f t="shared" si="4"/>
        <v>0</v>
      </c>
      <c r="M30" s="35">
        <f>IF(J30&lt;'Параметры ПФ'!$J$3+0.01,E30*F30*G30,ROUNDDOWN('Параметры ПФ'!$J$3/IF(H30=0,I30,IF(I30&gt;H30,H30,I30)),0)*G30)</f>
        <v>0</v>
      </c>
      <c r="N30" s="27">
        <f t="shared" si="5"/>
        <v>0</v>
      </c>
    </row>
    <row r="31" spans="1:14" x14ac:dyDescent="0.25">
      <c r="A31" s="3" t="s">
        <v>2</v>
      </c>
      <c r="B31" s="3"/>
      <c r="C31" s="3" t="s">
        <v>7</v>
      </c>
      <c r="D31" s="18"/>
      <c r="E31" s="18"/>
      <c r="F31" s="19"/>
      <c r="G31" s="19"/>
      <c r="H31" s="20"/>
      <c r="I31" s="4">
        <f>HLOOKUP($C31,'Параметры ПФ'!$F$8:$K$13,6,FALSE)*'Параметры ПФ'!$G$24</f>
        <v>77.97</v>
      </c>
      <c r="J31" s="4">
        <f t="shared" si="3"/>
        <v>0</v>
      </c>
      <c r="K31" s="5">
        <f>IF(J31&lt;'Параметры ПФ'!$S$12+0.01,'Дистанционные программы'!J31,ROUNDDOWN('Параметры ПФ'!$J$3/IF(H31=0,I31,IF(I31&gt;H31,H31,I31)),0)*IF(H31=0,I31,IF(I31&gt;H31,H31,I31)))</f>
        <v>0</v>
      </c>
      <c r="L31" s="4">
        <f t="shared" si="4"/>
        <v>0</v>
      </c>
      <c r="M31" s="35">
        <f>IF(J31&lt;'Параметры ПФ'!$J$3+0.01,E31*F31*G31,ROUNDDOWN('Параметры ПФ'!$J$3/IF(H31=0,I31,IF(I31&gt;H31,H31,I31)),0)*G31)</f>
        <v>0</v>
      </c>
      <c r="N31" s="27">
        <f t="shared" si="5"/>
        <v>0</v>
      </c>
    </row>
    <row r="32" spans="1:14" x14ac:dyDescent="0.25">
      <c r="A32" s="3" t="s">
        <v>2</v>
      </c>
      <c r="B32" s="3"/>
      <c r="C32" s="3" t="s">
        <v>7</v>
      </c>
      <c r="D32" s="18"/>
      <c r="E32" s="18"/>
      <c r="F32" s="19"/>
      <c r="G32" s="19"/>
      <c r="H32" s="20"/>
      <c r="I32" s="4">
        <f>HLOOKUP($C32,'Параметры ПФ'!$F$8:$K$13,6,FALSE)*'Параметры ПФ'!$G$24</f>
        <v>77.97</v>
      </c>
      <c r="J32" s="4">
        <f t="shared" si="3"/>
        <v>0</v>
      </c>
      <c r="K32" s="5">
        <f>IF(J32&lt;'Параметры ПФ'!$S$12+0.01,'Дистанционные программы'!J32,ROUNDDOWN('Параметры ПФ'!$J$3/IF(H32=0,I32,IF(I32&gt;H32,H32,I32)),0)*IF(H32=0,I32,IF(I32&gt;H32,H32,I32)))</f>
        <v>0</v>
      </c>
      <c r="L32" s="4">
        <f t="shared" si="4"/>
        <v>0</v>
      </c>
      <c r="M32" s="35">
        <f>IF(J32&lt;'Параметры ПФ'!$J$3+0.01,E32*F32*G32,ROUNDDOWN('Параметры ПФ'!$J$3/IF(H32=0,I32,IF(I32&gt;H32,H32,I32)),0)*G32)</f>
        <v>0</v>
      </c>
      <c r="N32" s="27">
        <f t="shared" si="5"/>
        <v>0</v>
      </c>
    </row>
    <row r="33" spans="1:14" x14ac:dyDescent="0.25">
      <c r="A33" s="3" t="s">
        <v>2</v>
      </c>
      <c r="B33" s="3"/>
      <c r="C33" s="3" t="s">
        <v>7</v>
      </c>
      <c r="D33" s="18"/>
      <c r="E33" s="18"/>
      <c r="F33" s="19"/>
      <c r="G33" s="19"/>
      <c r="H33" s="20"/>
      <c r="I33" s="4">
        <f>HLOOKUP($C33,'Параметры ПФ'!$F$8:$K$13,6,FALSE)*'Параметры ПФ'!$G$24</f>
        <v>77.97</v>
      </c>
      <c r="J33" s="4">
        <f t="shared" si="3"/>
        <v>0</v>
      </c>
      <c r="K33" s="5">
        <f>IF(J33&lt;'Параметры ПФ'!$S$12+0.01,'Дистанционные программы'!J33,ROUNDDOWN('Параметры ПФ'!$J$3/IF(H33=0,I33,IF(I33&gt;H33,H33,I33)),0)*IF(H33=0,I33,IF(I33&gt;H33,H33,I33)))</f>
        <v>0</v>
      </c>
      <c r="L33" s="4">
        <f t="shared" si="4"/>
        <v>0</v>
      </c>
      <c r="M33" s="35">
        <f>IF(J33&lt;'Параметры ПФ'!$J$3+0.01,E33*F33*G33,ROUNDDOWN('Параметры ПФ'!$J$3/IF(H33=0,I33,IF(I33&gt;H33,H33,I33)),0)*G33)</f>
        <v>0</v>
      </c>
      <c r="N33" s="27">
        <f t="shared" si="5"/>
        <v>0</v>
      </c>
    </row>
    <row r="34" spans="1:14" x14ac:dyDescent="0.25">
      <c r="A34" s="3" t="s">
        <v>2</v>
      </c>
      <c r="B34" s="3"/>
      <c r="C34" s="3" t="s">
        <v>7</v>
      </c>
      <c r="D34" s="18"/>
      <c r="E34" s="18"/>
      <c r="F34" s="19"/>
      <c r="G34" s="19"/>
      <c r="H34" s="20"/>
      <c r="I34" s="4">
        <f>HLOOKUP($C34,'Параметры ПФ'!$F$8:$K$13,6,FALSE)*'Параметры ПФ'!$G$24</f>
        <v>77.97</v>
      </c>
      <c r="J34" s="4">
        <f t="shared" si="3"/>
        <v>0</v>
      </c>
      <c r="K34" s="5">
        <f>IF(J34&lt;'Параметры ПФ'!$S$12+0.01,'Дистанционные программы'!J34,ROUNDDOWN('Параметры ПФ'!$J$3/IF(H34=0,I34,IF(I34&gt;H34,H34,I34)),0)*IF(H34=0,I34,IF(I34&gt;H34,H34,I34)))</f>
        <v>0</v>
      </c>
      <c r="L34" s="4">
        <f t="shared" si="4"/>
        <v>0</v>
      </c>
      <c r="M34" s="35">
        <f>IF(J34&lt;'Параметры ПФ'!$J$3+0.01,E34*F34*G34,ROUNDDOWN('Параметры ПФ'!$J$3/IF(H34=0,I34,IF(I34&gt;H34,H34,I34)),0)*G34)</f>
        <v>0</v>
      </c>
      <c r="N34" s="27">
        <f t="shared" si="5"/>
        <v>0</v>
      </c>
    </row>
    <row r="35" spans="1:14" x14ac:dyDescent="0.25">
      <c r="A35" s="3" t="s">
        <v>2</v>
      </c>
      <c r="B35" s="3"/>
      <c r="C35" s="3" t="s">
        <v>7</v>
      </c>
      <c r="D35" s="18"/>
      <c r="E35" s="18"/>
      <c r="F35" s="19"/>
      <c r="G35" s="19"/>
      <c r="H35" s="20"/>
      <c r="I35" s="4">
        <f>HLOOKUP($C35,'Параметры ПФ'!$F$8:$K$13,6,FALSE)*'Параметры ПФ'!$G$24</f>
        <v>77.97</v>
      </c>
      <c r="J35" s="4">
        <f t="shared" si="3"/>
        <v>0</v>
      </c>
      <c r="K35" s="5">
        <f>IF(J35&lt;'Параметры ПФ'!$S$12+0.01,'Дистанционные программы'!J35,ROUNDDOWN('Параметры ПФ'!$J$3/IF(H35=0,I35,IF(I35&gt;H35,H35,I35)),0)*IF(H35=0,I35,IF(I35&gt;H35,H35,I35)))</f>
        <v>0</v>
      </c>
      <c r="L35" s="4">
        <f t="shared" si="4"/>
        <v>0</v>
      </c>
      <c r="M35" s="35">
        <f>IF(J35&lt;'Параметры ПФ'!$J$3+0.01,E35*F35*G35,ROUNDDOWN('Параметры ПФ'!$J$3/IF(H35=0,I35,IF(I35&gt;H35,H35,I35)),0)*G35)</f>
        <v>0</v>
      </c>
      <c r="N35" s="27">
        <f t="shared" si="5"/>
        <v>0</v>
      </c>
    </row>
    <row r="36" spans="1:14" x14ac:dyDescent="0.25">
      <c r="A36" s="3" t="s">
        <v>2</v>
      </c>
      <c r="B36" s="3"/>
      <c r="C36" s="3" t="s">
        <v>7</v>
      </c>
      <c r="D36" s="18"/>
      <c r="E36" s="18"/>
      <c r="F36" s="19"/>
      <c r="G36" s="19"/>
      <c r="H36" s="20"/>
      <c r="I36" s="4">
        <f>HLOOKUP($C36,'Параметры ПФ'!$F$8:$K$13,6,FALSE)*'Параметры ПФ'!$G$24</f>
        <v>77.97</v>
      </c>
      <c r="J36" s="4">
        <f t="shared" si="3"/>
        <v>0</v>
      </c>
      <c r="K36" s="5">
        <f>IF(J36&lt;'Параметры ПФ'!$S$12+0.01,'Дистанционные программы'!J36,ROUNDDOWN('Параметры ПФ'!$J$3/IF(H36=0,I36,IF(I36&gt;H36,H36,I36)),0)*IF(H36=0,I36,IF(I36&gt;H36,H36,I36)))</f>
        <v>0</v>
      </c>
      <c r="L36" s="4">
        <f t="shared" si="4"/>
        <v>0</v>
      </c>
      <c r="M36" s="35">
        <f>IF(J36&lt;'Параметры ПФ'!$J$3+0.01,E36*F36*G36,ROUNDDOWN('Параметры ПФ'!$J$3/IF(H36=0,I36,IF(I36&gt;H36,H36,I36)),0)*G36)</f>
        <v>0</v>
      </c>
      <c r="N36" s="27">
        <f t="shared" si="5"/>
        <v>0</v>
      </c>
    </row>
    <row r="37" spans="1:14" x14ac:dyDescent="0.25">
      <c r="A37" s="3" t="s">
        <v>2</v>
      </c>
      <c r="B37" s="3"/>
      <c r="C37" s="3" t="s">
        <v>7</v>
      </c>
      <c r="D37" s="18"/>
      <c r="E37" s="18"/>
      <c r="F37" s="19"/>
      <c r="G37" s="19"/>
      <c r="H37" s="20"/>
      <c r="I37" s="4">
        <f>HLOOKUP($C37,'Параметры ПФ'!$F$8:$K$13,6,FALSE)*'Параметры ПФ'!$G$24</f>
        <v>77.97</v>
      </c>
      <c r="J37" s="4">
        <f t="shared" si="3"/>
        <v>0</v>
      </c>
      <c r="K37" s="5">
        <f>IF(J37&lt;'Параметры ПФ'!$S$12+0.01,'Дистанционные программы'!J37,ROUNDDOWN('Параметры ПФ'!$J$3/IF(H37=0,I37,IF(I37&gt;H37,H37,I37)),0)*IF(H37=0,I37,IF(I37&gt;H37,H37,I37)))</f>
        <v>0</v>
      </c>
      <c r="L37" s="4">
        <f t="shared" si="4"/>
        <v>0</v>
      </c>
      <c r="M37" s="35">
        <f>IF(J37&lt;'Параметры ПФ'!$J$3+0.01,E37*F37*G37,ROUNDDOWN('Параметры ПФ'!$J$3/IF(H37=0,I37,IF(I37&gt;H37,H37,I37)),0)*G37)</f>
        <v>0</v>
      </c>
      <c r="N37" s="27">
        <f t="shared" si="5"/>
        <v>0</v>
      </c>
    </row>
    <row r="38" spans="1:14" x14ac:dyDescent="0.25">
      <c r="A38" s="3" t="s">
        <v>2</v>
      </c>
      <c r="B38" s="3"/>
      <c r="C38" s="3" t="s">
        <v>7</v>
      </c>
      <c r="D38" s="18"/>
      <c r="E38" s="18"/>
      <c r="F38" s="19"/>
      <c r="G38" s="19"/>
      <c r="H38" s="20"/>
      <c r="I38" s="4">
        <f>HLOOKUP($C38,'Параметры ПФ'!$F$8:$K$13,6,FALSE)*'Параметры ПФ'!$G$24</f>
        <v>77.97</v>
      </c>
      <c r="J38" s="4">
        <f t="shared" si="3"/>
        <v>0</v>
      </c>
      <c r="K38" s="5">
        <f>IF(J38&lt;'Параметры ПФ'!$S$12+0.01,'Дистанционные программы'!J38,ROUNDDOWN('Параметры ПФ'!$J$3/IF(H38=0,I38,IF(I38&gt;H38,H38,I38)),0)*IF(H38=0,I38,IF(I38&gt;H38,H38,I38)))</f>
        <v>0</v>
      </c>
      <c r="L38" s="4">
        <f t="shared" si="4"/>
        <v>0</v>
      </c>
      <c r="M38" s="35">
        <f>IF(J38&lt;'Параметры ПФ'!$J$3+0.01,E38*F38*G38,ROUNDDOWN('Параметры ПФ'!$J$3/IF(H38=0,I38,IF(I38&gt;H38,H38,I38)),0)*G38)</f>
        <v>0</v>
      </c>
      <c r="N38" s="27">
        <f t="shared" si="5"/>
        <v>0</v>
      </c>
    </row>
    <row r="39" spans="1:14" x14ac:dyDescent="0.25">
      <c r="A39" s="121"/>
      <c r="B39" s="121"/>
      <c r="C39" s="121"/>
      <c r="D39" s="121"/>
      <c r="E39" s="121"/>
      <c r="F39" s="121"/>
      <c r="G39" s="6">
        <f>SUM(G2:G38)</f>
        <v>0</v>
      </c>
      <c r="H39" s="7" t="s">
        <v>30</v>
      </c>
      <c r="I39" s="8" t="s">
        <v>30</v>
      </c>
      <c r="J39" s="7" t="s">
        <v>30</v>
      </c>
      <c r="K39" s="8" t="s">
        <v>30</v>
      </c>
      <c r="L39" s="33">
        <f>SUM(L2:L38)</f>
        <v>0</v>
      </c>
      <c r="M39" s="36">
        <f>SUM(M2:M38)</f>
        <v>0</v>
      </c>
      <c r="N39" s="28" t="s">
        <v>30</v>
      </c>
    </row>
  </sheetData>
  <mergeCells count="1">
    <mergeCell ref="A39:F39"/>
  </mergeCells>
  <conditionalFormatting sqref="N2:N38">
    <cfRule type="cellIs" dxfId="2" priority="1" operator="greaterThan">
      <formula>#REF!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56A0E7-5F77-4831-916A-E4015694AD5D}">
          <x14:formula1>
            <xm:f>'Параметры ПФ'!$F$8:$K$8</xm:f>
          </x14:formula1>
          <xm:sqref>C2:C28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zoomScale="80" zoomScaleNormal="80" workbookViewId="0">
      <selection activeCell="I3" sqref="I3"/>
    </sheetView>
  </sheetViews>
  <sheetFormatPr defaultRowHeight="15.75" x14ac:dyDescent="0.25"/>
  <cols>
    <col min="1" max="3" width="24" customWidth="1"/>
    <col min="4" max="13" width="11.5" customWidth="1"/>
    <col min="14" max="14" width="16.5" customWidth="1"/>
  </cols>
  <sheetData>
    <row r="1" spans="1:14" ht="99.75" customHeight="1" x14ac:dyDescent="0.25">
      <c r="A1" s="13" t="s">
        <v>26</v>
      </c>
      <c r="B1" s="13" t="s">
        <v>27</v>
      </c>
      <c r="C1" s="13" t="s">
        <v>9</v>
      </c>
      <c r="D1" s="14" t="s">
        <v>8</v>
      </c>
      <c r="E1" s="14" t="s">
        <v>45</v>
      </c>
      <c r="F1" s="14" t="s">
        <v>31</v>
      </c>
      <c r="G1" s="14" t="s">
        <v>28</v>
      </c>
      <c r="H1" s="15" t="s">
        <v>32</v>
      </c>
      <c r="I1" s="16" t="s">
        <v>29</v>
      </c>
      <c r="J1" s="16" t="s">
        <v>46</v>
      </c>
      <c r="K1" s="30" t="s">
        <v>47</v>
      </c>
      <c r="L1" s="16" t="s">
        <v>36</v>
      </c>
      <c r="M1" s="16" t="s">
        <v>53</v>
      </c>
      <c r="N1" s="26" t="s">
        <v>48</v>
      </c>
    </row>
    <row r="2" spans="1:14" x14ac:dyDescent="0.25">
      <c r="A2" s="3" t="s">
        <v>1</v>
      </c>
      <c r="B2" s="3"/>
      <c r="C2" s="3" t="s">
        <v>5</v>
      </c>
      <c r="D2" s="18"/>
      <c r="E2" s="18"/>
      <c r="F2" s="19"/>
      <c r="G2" s="19"/>
      <c r="H2" s="20"/>
      <c r="I2" s="4">
        <f>HLOOKUP($C2,'Параметры ПФ'!$F$8:$K$13,6,FALSE)*'Параметры ПФ'!$G$25</f>
        <v>77.97</v>
      </c>
      <c r="J2" s="4">
        <f>IF(H2=0,I2*F2*E2,IF(I2&gt;H2,H2*F2*E2,I2*F2*E2))</f>
        <v>0</v>
      </c>
      <c r="K2" s="5">
        <f>IF(J2&lt;'Параметры ПФ'!$J$3+0.01,'Очно-заочные программы'!J2,ROUNDDOWN('Параметры ПФ'!$J$3/IF(H2=0,I2,IF(I2&gt;H2,H2,I2)),0)*IF(H2=0,I2,IF(I2&gt;H2,H2,I2)))</f>
        <v>0</v>
      </c>
      <c r="L2" s="4">
        <f t="shared" ref="L2" si="0">K2*G2</f>
        <v>0</v>
      </c>
      <c r="M2" s="35">
        <f>IF(J2&lt;'Параметры ПФ'!$J$3+0.01,E2*F2*G2,ROUNDDOWN('Параметры ПФ'!$J$3/IF(H2=0,I2,IF(I2&gt;H2,H2,I2)),0)*G2)</f>
        <v>0</v>
      </c>
      <c r="N2" s="27">
        <f>IF(H2=0,I2*F2*E2,IF(I2&gt;H2,H2*F2*E2,I2*F2*E2))-K2</f>
        <v>0</v>
      </c>
    </row>
    <row r="3" spans="1:14" x14ac:dyDescent="0.25">
      <c r="A3" s="3" t="s">
        <v>1</v>
      </c>
      <c r="B3" s="3"/>
      <c r="C3" s="3" t="s">
        <v>5</v>
      </c>
      <c r="D3" s="18"/>
      <c r="E3" s="18"/>
      <c r="F3" s="19"/>
      <c r="G3" s="19"/>
      <c r="H3" s="20"/>
      <c r="I3" s="4">
        <f>HLOOKUP($C3,'Параметры ПФ'!$F$8:$K$13,6,FALSE)*'Параметры ПФ'!$G$25</f>
        <v>77.97</v>
      </c>
      <c r="J3" s="4">
        <f t="shared" ref="J3:J38" si="1">IF(H3=0,I3*F3*E3,IF(I3&gt;H3,H3*F3*E3,I3*F3*E3))</f>
        <v>0</v>
      </c>
      <c r="K3" s="5">
        <f>IF(J3&lt;'Параметры ПФ'!$J$3+0.01,'Очно-заочные программы'!J3,ROUNDDOWN('Параметры ПФ'!$J$3/IF(H3=0,I3,IF(I3&gt;H3,H3,I3)),0)*IF(H3=0,I3,IF(I3&gt;H3,H3,I3)))</f>
        <v>0</v>
      </c>
      <c r="L3" s="4">
        <f t="shared" ref="L3:L38" si="2">K3*G3</f>
        <v>0</v>
      </c>
      <c r="M3" s="35">
        <f>IF(J3&lt;'Параметры ПФ'!$J$3+0.01,E3*F3*G3,ROUNDDOWN('Параметры ПФ'!$J$3/IF(H3=0,I3,IF(I3&gt;H3,H3,I3)),0)*G3)</f>
        <v>0</v>
      </c>
      <c r="N3" s="27">
        <f t="shared" ref="N3:N38" si="3">IF(H3=0,I3*F3*E3,IF(I3&gt;H3,H3*F3*E3,I3*F3*E3))-K3</f>
        <v>0</v>
      </c>
    </row>
    <row r="4" spans="1:14" x14ac:dyDescent="0.25">
      <c r="A4" s="3" t="s">
        <v>2</v>
      </c>
      <c r="B4" s="3"/>
      <c r="C4" s="3" t="s">
        <v>5</v>
      </c>
      <c r="D4" s="18"/>
      <c r="E4" s="18"/>
      <c r="F4" s="19"/>
      <c r="G4" s="19"/>
      <c r="H4" s="20"/>
      <c r="I4" s="4">
        <f>HLOOKUP($C4,'Параметры ПФ'!$F$8:$K$13,6,FALSE)*'Параметры ПФ'!$G$25</f>
        <v>77.97</v>
      </c>
      <c r="J4" s="4">
        <f t="shared" si="1"/>
        <v>0</v>
      </c>
      <c r="K4" s="5">
        <f>IF(J4&lt;'Параметры ПФ'!$J$3+0.01,'Очно-заочные программы'!J4,ROUNDDOWN('Параметры ПФ'!$J$3/IF(H4=0,I4,IF(I4&gt;H4,H4,I4)),0)*IF(H4=0,I4,IF(I4&gt;H4,H4,I4)))</f>
        <v>0</v>
      </c>
      <c r="L4" s="4">
        <f t="shared" si="2"/>
        <v>0</v>
      </c>
      <c r="M4" s="35">
        <f>IF(J4&lt;'Параметры ПФ'!$J$3+0.01,E4*F4*G4,ROUNDDOWN('Параметры ПФ'!$J$3/IF(H4=0,I4,IF(I4&gt;H4,H4,I4)),0)*G4)</f>
        <v>0</v>
      </c>
      <c r="N4" s="27">
        <f t="shared" si="3"/>
        <v>0</v>
      </c>
    </row>
    <row r="5" spans="1:14" x14ac:dyDescent="0.25">
      <c r="A5" s="3" t="s">
        <v>1</v>
      </c>
      <c r="B5" s="3"/>
      <c r="C5" s="3" t="s">
        <v>5</v>
      </c>
      <c r="D5" s="18"/>
      <c r="E5" s="18"/>
      <c r="F5" s="19"/>
      <c r="G5" s="19"/>
      <c r="H5" s="20"/>
      <c r="I5" s="4">
        <f>HLOOKUP($C5,'Параметры ПФ'!$F$8:$K$13,6,FALSE)*'Параметры ПФ'!$G$25</f>
        <v>77.97</v>
      </c>
      <c r="J5" s="4">
        <f t="shared" si="1"/>
        <v>0</v>
      </c>
      <c r="K5" s="5">
        <f>IF(J5&lt;'Параметры ПФ'!$J$3+0.01,'Очно-заочные программы'!J5,ROUNDDOWN('Параметры ПФ'!$J$3/IF(H5=0,I5,IF(I5&gt;H5,H5,I5)),0)*IF(H5=0,I5,IF(I5&gt;H5,H5,I5)))</f>
        <v>0</v>
      </c>
      <c r="L5" s="4">
        <f t="shared" si="2"/>
        <v>0</v>
      </c>
      <c r="M5" s="35">
        <f>IF(J5&lt;'Параметры ПФ'!$J$3+0.01,E5*F5*G5,ROUNDDOWN('Параметры ПФ'!$J$3/IF(H5=0,I5,IF(I5&gt;H5,H5,I5)),0)*G5)</f>
        <v>0</v>
      </c>
      <c r="N5" s="27">
        <f t="shared" si="3"/>
        <v>0</v>
      </c>
    </row>
    <row r="6" spans="1:14" x14ac:dyDescent="0.25">
      <c r="A6" s="3" t="s">
        <v>2</v>
      </c>
      <c r="B6" s="3"/>
      <c r="C6" s="3" t="s">
        <v>5</v>
      </c>
      <c r="D6" s="18"/>
      <c r="E6" s="18"/>
      <c r="F6" s="19"/>
      <c r="G6" s="19"/>
      <c r="H6" s="20"/>
      <c r="I6" s="4">
        <f>HLOOKUP($C6,'Параметры ПФ'!$F$8:$K$13,6,FALSE)*'Параметры ПФ'!$G$25</f>
        <v>77.97</v>
      </c>
      <c r="J6" s="4">
        <f t="shared" si="1"/>
        <v>0</v>
      </c>
      <c r="K6" s="5">
        <f>IF(J6&lt;'Параметры ПФ'!$J$3+0.01,'Очно-заочные программы'!J6,ROUNDDOWN('Параметры ПФ'!$J$3/IF(H6=0,I6,IF(I6&gt;H6,H6,I6)),0)*IF(H6=0,I6,IF(I6&gt;H6,H6,I6)))</f>
        <v>0</v>
      </c>
      <c r="L6" s="4">
        <f t="shared" si="2"/>
        <v>0</v>
      </c>
      <c r="M6" s="35">
        <f>IF(J6&lt;'Параметры ПФ'!$J$3+0.01,E6*F6*G6,ROUNDDOWN('Параметры ПФ'!$J$3/IF(H6=0,I6,IF(I6&gt;H6,H6,I6)),0)*G6)</f>
        <v>0</v>
      </c>
      <c r="N6" s="27">
        <f t="shared" si="3"/>
        <v>0</v>
      </c>
    </row>
    <row r="7" spans="1:14" x14ac:dyDescent="0.25">
      <c r="A7" s="3" t="s">
        <v>2</v>
      </c>
      <c r="B7" s="3"/>
      <c r="C7" s="3" t="s">
        <v>5</v>
      </c>
      <c r="D7" s="18"/>
      <c r="E7" s="18"/>
      <c r="F7" s="19"/>
      <c r="G7" s="19"/>
      <c r="H7" s="20"/>
      <c r="I7" s="4">
        <f>HLOOKUP($C7,'Параметры ПФ'!$F$8:$K$13,6,FALSE)*'Параметры ПФ'!$G$25</f>
        <v>77.97</v>
      </c>
      <c r="J7" s="4">
        <f t="shared" si="1"/>
        <v>0</v>
      </c>
      <c r="K7" s="5">
        <f>IF(J7&lt;'Параметры ПФ'!$J$3+0.01,'Очно-заочные программы'!J7,ROUNDDOWN('Параметры ПФ'!$J$3/IF(H7=0,I7,IF(I7&gt;H7,H7,I7)),0)*IF(H7=0,I7,IF(I7&gt;H7,H7,I7)))</f>
        <v>0</v>
      </c>
      <c r="L7" s="4">
        <f t="shared" si="2"/>
        <v>0</v>
      </c>
      <c r="M7" s="35">
        <f>IF(J7&lt;'Параметры ПФ'!$J$3+0.01,E7*F7*G7,ROUNDDOWN('Параметры ПФ'!$J$3/IF(H7=0,I7,IF(I7&gt;H7,H7,I7)),0)*G7)</f>
        <v>0</v>
      </c>
      <c r="N7" s="27">
        <f t="shared" si="3"/>
        <v>0</v>
      </c>
    </row>
    <row r="8" spans="1:14" x14ac:dyDescent="0.25">
      <c r="A8" s="3" t="s">
        <v>38</v>
      </c>
      <c r="B8" s="3"/>
      <c r="C8" s="3" t="s">
        <v>5</v>
      </c>
      <c r="D8" s="18"/>
      <c r="E8" s="18"/>
      <c r="F8" s="19"/>
      <c r="G8" s="19"/>
      <c r="H8" s="20"/>
      <c r="I8" s="4">
        <f>HLOOKUP($C8,'Параметры ПФ'!$F$8:$K$13,6,FALSE)*'Параметры ПФ'!$G$25</f>
        <v>77.97</v>
      </c>
      <c r="J8" s="4">
        <f t="shared" si="1"/>
        <v>0</v>
      </c>
      <c r="K8" s="5">
        <f>IF(J8&lt;'Параметры ПФ'!$J$3+0.01,'Очно-заочные программы'!J8,ROUNDDOWN('Параметры ПФ'!$J$3/IF(H8=0,I8,IF(I8&gt;H8,H8,I8)),0)*IF(H8=0,I8,IF(I8&gt;H8,H8,I8)))</f>
        <v>0</v>
      </c>
      <c r="L8" s="4">
        <f t="shared" si="2"/>
        <v>0</v>
      </c>
      <c r="M8" s="35">
        <f>IF(J8&lt;'Параметры ПФ'!$J$3+0.01,E8*F8*G8,ROUNDDOWN('Параметры ПФ'!$J$3/IF(H8=0,I8,IF(I8&gt;H8,H8,I8)),0)*G8)</f>
        <v>0</v>
      </c>
      <c r="N8" s="27">
        <f t="shared" si="3"/>
        <v>0</v>
      </c>
    </row>
    <row r="9" spans="1:14" x14ac:dyDescent="0.25">
      <c r="A9" s="3" t="s">
        <v>2</v>
      </c>
      <c r="B9" s="3"/>
      <c r="C9" s="3" t="s">
        <v>5</v>
      </c>
      <c r="D9" s="18"/>
      <c r="E9" s="18"/>
      <c r="F9" s="19"/>
      <c r="G9" s="19"/>
      <c r="H9" s="20"/>
      <c r="I9" s="4">
        <f>HLOOKUP($C9,'Параметры ПФ'!$F$8:$K$13,6,FALSE)*'Параметры ПФ'!$G$25</f>
        <v>77.97</v>
      </c>
      <c r="J9" s="4">
        <f t="shared" si="1"/>
        <v>0</v>
      </c>
      <c r="K9" s="5">
        <f>IF(J9&lt;'Параметры ПФ'!$J$3+0.01,'Очно-заочные программы'!J9,ROUNDDOWN('Параметры ПФ'!$J$3/IF(H9=0,I9,IF(I9&gt;H9,H9,I9)),0)*IF(H9=0,I9,IF(I9&gt;H9,H9,I9)))</f>
        <v>0</v>
      </c>
      <c r="L9" s="4">
        <f t="shared" si="2"/>
        <v>0</v>
      </c>
      <c r="M9" s="35">
        <f>IF(J9&lt;'Параметры ПФ'!$J$3+0.01,E9*F9*G9,ROUNDDOWN('Параметры ПФ'!$J$3/IF(H9=0,I9,IF(I9&gt;H9,H9,I9)),0)*G9)</f>
        <v>0</v>
      </c>
      <c r="N9" s="27">
        <f t="shared" si="3"/>
        <v>0</v>
      </c>
    </row>
    <row r="10" spans="1:14" x14ac:dyDescent="0.25">
      <c r="A10" s="3" t="s">
        <v>2</v>
      </c>
      <c r="B10" s="3"/>
      <c r="C10" s="3" t="s">
        <v>5</v>
      </c>
      <c r="D10" s="18"/>
      <c r="E10" s="18"/>
      <c r="F10" s="19"/>
      <c r="G10" s="19"/>
      <c r="H10" s="20"/>
      <c r="I10" s="4">
        <f>HLOOKUP($C10,'Параметры ПФ'!$F$8:$K$13,6,FALSE)*'Параметры ПФ'!$G$25</f>
        <v>77.97</v>
      </c>
      <c r="J10" s="4">
        <f t="shared" si="1"/>
        <v>0</v>
      </c>
      <c r="K10" s="5">
        <f>IF(J10&lt;'Параметры ПФ'!$J$3+0.01,'Очно-заочные программы'!J10,ROUNDDOWN('Параметры ПФ'!$J$3/IF(H10=0,I10,IF(I10&gt;H10,H10,I10)),0)*IF(H10=0,I10,IF(I10&gt;H10,H10,I10)))</f>
        <v>0</v>
      </c>
      <c r="L10" s="4">
        <f t="shared" si="2"/>
        <v>0</v>
      </c>
      <c r="M10" s="35">
        <f>IF(J10&lt;'Параметры ПФ'!$J$3+0.01,E10*F10*G10,ROUNDDOWN('Параметры ПФ'!$J$3/IF(H10=0,I10,IF(I10&gt;H10,H10,I10)),0)*G10)</f>
        <v>0</v>
      </c>
      <c r="N10" s="27">
        <f t="shared" si="3"/>
        <v>0</v>
      </c>
    </row>
    <row r="11" spans="1:14" x14ac:dyDescent="0.25">
      <c r="A11" s="3" t="s">
        <v>2</v>
      </c>
      <c r="B11" s="3"/>
      <c r="C11" s="3" t="s">
        <v>5</v>
      </c>
      <c r="D11" s="18"/>
      <c r="E11" s="18"/>
      <c r="F11" s="19"/>
      <c r="G11" s="19"/>
      <c r="H11" s="20"/>
      <c r="I11" s="4">
        <f>HLOOKUP($C11,'Параметры ПФ'!$F$8:$K$13,6,FALSE)*'Параметры ПФ'!$G$25</f>
        <v>77.97</v>
      </c>
      <c r="J11" s="4">
        <f t="shared" si="1"/>
        <v>0</v>
      </c>
      <c r="K11" s="5">
        <f>IF(J11&lt;'Параметры ПФ'!$J$3+0.01,'Очно-заочные программы'!J11,ROUNDDOWN('Параметры ПФ'!$J$3/IF(H11=0,I11,IF(I11&gt;H11,H11,I11)),0)*IF(H11=0,I11,IF(I11&gt;H11,H11,I11)))</f>
        <v>0</v>
      </c>
      <c r="L11" s="4">
        <f t="shared" si="2"/>
        <v>0</v>
      </c>
      <c r="M11" s="35">
        <f>IF(J11&lt;'Параметры ПФ'!$J$3+0.01,E11*F11*G11,ROUNDDOWN('Параметры ПФ'!$J$3/IF(H11=0,I11,IF(I11&gt;H11,H11,I11)),0)*G11)</f>
        <v>0</v>
      </c>
      <c r="N11" s="27">
        <f t="shared" si="3"/>
        <v>0</v>
      </c>
    </row>
    <row r="12" spans="1:14" x14ac:dyDescent="0.25">
      <c r="A12" s="3" t="s">
        <v>2</v>
      </c>
      <c r="B12" s="3"/>
      <c r="C12" s="3" t="s">
        <v>5</v>
      </c>
      <c r="D12" s="18"/>
      <c r="E12" s="18"/>
      <c r="F12" s="19"/>
      <c r="G12" s="19"/>
      <c r="H12" s="20"/>
      <c r="I12" s="4">
        <f>HLOOKUP($C12,'Параметры ПФ'!$F$8:$K$13,6,FALSE)*'Параметры ПФ'!$G$25</f>
        <v>77.97</v>
      </c>
      <c r="J12" s="4">
        <f t="shared" si="1"/>
        <v>0</v>
      </c>
      <c r="K12" s="5">
        <f>IF(J12&lt;'Параметры ПФ'!$J$3+0.01,'Очно-заочные программы'!J12,ROUNDDOWN('Параметры ПФ'!$J$3/IF(H12=0,I12,IF(I12&gt;H12,H12,I12)),0)*IF(H12=0,I12,IF(I12&gt;H12,H12,I12)))</f>
        <v>0</v>
      </c>
      <c r="L12" s="4">
        <f t="shared" si="2"/>
        <v>0</v>
      </c>
      <c r="M12" s="35">
        <f>IF(J12&lt;'Параметры ПФ'!$J$3+0.01,E12*F12*G12,ROUNDDOWN('Параметры ПФ'!$J$3/IF(H12=0,I12,IF(I12&gt;H12,H12,I12)),0)*G12)</f>
        <v>0</v>
      </c>
      <c r="N12" s="27">
        <f t="shared" si="3"/>
        <v>0</v>
      </c>
    </row>
    <row r="13" spans="1:14" x14ac:dyDescent="0.25">
      <c r="A13" s="3" t="s">
        <v>2</v>
      </c>
      <c r="B13" s="3"/>
      <c r="C13" s="3" t="s">
        <v>5</v>
      </c>
      <c r="D13" s="18"/>
      <c r="E13" s="18"/>
      <c r="F13" s="19"/>
      <c r="G13" s="19"/>
      <c r="H13" s="20"/>
      <c r="I13" s="4">
        <f>HLOOKUP($C13,'Параметры ПФ'!$F$8:$K$13,6,FALSE)*'Параметры ПФ'!$G$25</f>
        <v>77.97</v>
      </c>
      <c r="J13" s="4">
        <f t="shared" si="1"/>
        <v>0</v>
      </c>
      <c r="K13" s="5">
        <f>IF(J13&lt;'Параметры ПФ'!$J$3+0.01,'Очно-заочные программы'!J13,ROUNDDOWN('Параметры ПФ'!$J$3/IF(H13=0,I13,IF(I13&gt;H13,H13,I13)),0)*IF(H13=0,I13,IF(I13&gt;H13,H13,I13)))</f>
        <v>0</v>
      </c>
      <c r="L13" s="4">
        <f t="shared" si="2"/>
        <v>0</v>
      </c>
      <c r="M13" s="35">
        <f>IF(J13&lt;'Параметры ПФ'!$J$3+0.01,E13*F13*G13,ROUNDDOWN('Параметры ПФ'!$J$3/IF(H13=0,I13,IF(I13&gt;H13,H13,I13)),0)*G13)</f>
        <v>0</v>
      </c>
      <c r="N13" s="27">
        <f t="shared" si="3"/>
        <v>0</v>
      </c>
    </row>
    <row r="14" spans="1:14" x14ac:dyDescent="0.25">
      <c r="A14" s="3" t="s">
        <v>2</v>
      </c>
      <c r="B14" s="3"/>
      <c r="C14" s="3" t="s">
        <v>5</v>
      </c>
      <c r="D14" s="18"/>
      <c r="E14" s="18"/>
      <c r="F14" s="19"/>
      <c r="G14" s="19"/>
      <c r="H14" s="20"/>
      <c r="I14" s="4">
        <f>HLOOKUP($C14,'Параметры ПФ'!$F$8:$K$13,6,FALSE)*'Параметры ПФ'!$G$25</f>
        <v>77.97</v>
      </c>
      <c r="J14" s="4">
        <f t="shared" si="1"/>
        <v>0</v>
      </c>
      <c r="K14" s="5">
        <f>IF(J14&lt;'Параметры ПФ'!$J$3+0.01,'Очно-заочные программы'!J14,ROUNDDOWN('Параметры ПФ'!$J$3/IF(H14=0,I14,IF(I14&gt;H14,H14,I14)),0)*IF(H14=0,I14,IF(I14&gt;H14,H14,I14)))</f>
        <v>0</v>
      </c>
      <c r="L14" s="4">
        <f t="shared" si="2"/>
        <v>0</v>
      </c>
      <c r="M14" s="35">
        <f>IF(J14&lt;'Параметры ПФ'!$J$3+0.01,E14*F14*G14,ROUNDDOWN('Параметры ПФ'!$J$3/IF(H14=0,I14,IF(I14&gt;H14,H14,I14)),0)*G14)</f>
        <v>0</v>
      </c>
      <c r="N14" s="27">
        <f t="shared" si="3"/>
        <v>0</v>
      </c>
    </row>
    <row r="15" spans="1:14" x14ac:dyDescent="0.25">
      <c r="A15" s="3" t="s">
        <v>2</v>
      </c>
      <c r="B15" s="3"/>
      <c r="C15" s="3" t="s">
        <v>5</v>
      </c>
      <c r="D15" s="18"/>
      <c r="E15" s="18"/>
      <c r="F15" s="19"/>
      <c r="G15" s="19"/>
      <c r="H15" s="20"/>
      <c r="I15" s="4">
        <f>HLOOKUP($C15,'Параметры ПФ'!$F$8:$K$13,6,FALSE)*'Параметры ПФ'!$G$25</f>
        <v>77.97</v>
      </c>
      <c r="J15" s="4">
        <f t="shared" si="1"/>
        <v>0</v>
      </c>
      <c r="K15" s="5">
        <f>IF(J15&lt;'Параметры ПФ'!$J$3+0.01,'Очно-заочные программы'!J15,ROUNDDOWN('Параметры ПФ'!$J$3/IF(H15=0,I15,IF(I15&gt;H15,H15,I15)),0)*IF(H15=0,I15,IF(I15&gt;H15,H15,I15)))</f>
        <v>0</v>
      </c>
      <c r="L15" s="4">
        <f t="shared" si="2"/>
        <v>0</v>
      </c>
      <c r="M15" s="35">
        <f>IF(J15&lt;'Параметры ПФ'!$J$3+0.01,E15*F15*G15,ROUNDDOWN('Параметры ПФ'!$J$3/IF(H15=0,I15,IF(I15&gt;H15,H15,I15)),0)*G15)</f>
        <v>0</v>
      </c>
      <c r="N15" s="27">
        <f t="shared" si="3"/>
        <v>0</v>
      </c>
    </row>
    <row r="16" spans="1:14" x14ac:dyDescent="0.25">
      <c r="A16" s="3" t="s">
        <v>2</v>
      </c>
      <c r="B16" s="3"/>
      <c r="C16" s="3" t="s">
        <v>5</v>
      </c>
      <c r="D16" s="18"/>
      <c r="E16" s="18"/>
      <c r="F16" s="19"/>
      <c r="G16" s="19"/>
      <c r="H16" s="20"/>
      <c r="I16" s="4">
        <f>HLOOKUP($C16,'Параметры ПФ'!$F$8:$K$13,6,FALSE)*'Параметры ПФ'!$G$25</f>
        <v>77.97</v>
      </c>
      <c r="J16" s="4">
        <f t="shared" si="1"/>
        <v>0</v>
      </c>
      <c r="K16" s="5">
        <f>IF(J16&lt;'Параметры ПФ'!$J$3+0.01,'Очно-заочные программы'!J16,ROUNDDOWN('Параметры ПФ'!$J$3/IF(H16=0,I16,IF(I16&gt;H16,H16,I16)),0)*IF(H16=0,I16,IF(I16&gt;H16,H16,I16)))</f>
        <v>0</v>
      </c>
      <c r="L16" s="4">
        <f t="shared" si="2"/>
        <v>0</v>
      </c>
      <c r="M16" s="35">
        <f>IF(J16&lt;'Параметры ПФ'!$J$3+0.01,E16*F16*G16,ROUNDDOWN('Параметры ПФ'!$J$3/IF(H16=0,I16,IF(I16&gt;H16,H16,I16)),0)*G16)</f>
        <v>0</v>
      </c>
      <c r="N16" s="27">
        <f t="shared" si="3"/>
        <v>0</v>
      </c>
    </row>
    <row r="17" spans="1:14" x14ac:dyDescent="0.25">
      <c r="A17" s="3" t="s">
        <v>2</v>
      </c>
      <c r="B17" s="3"/>
      <c r="C17" s="3" t="s">
        <v>5</v>
      </c>
      <c r="D17" s="18"/>
      <c r="E17" s="18"/>
      <c r="F17" s="19"/>
      <c r="G17" s="19"/>
      <c r="H17" s="20"/>
      <c r="I17" s="4">
        <f>HLOOKUP($C17,'Параметры ПФ'!$F$8:$K$13,6,FALSE)*'Параметры ПФ'!$G$25</f>
        <v>77.97</v>
      </c>
      <c r="J17" s="4">
        <f t="shared" si="1"/>
        <v>0</v>
      </c>
      <c r="K17" s="5">
        <f>IF(J17&lt;'Параметры ПФ'!$J$3+0.01,'Очно-заочные программы'!J17,ROUNDDOWN('Параметры ПФ'!$J$3/IF(H17=0,I17,IF(I17&gt;H17,H17,I17)),0)*IF(H17=0,I17,IF(I17&gt;H17,H17,I17)))</f>
        <v>0</v>
      </c>
      <c r="L17" s="4">
        <f t="shared" si="2"/>
        <v>0</v>
      </c>
      <c r="M17" s="35">
        <f>IF(J17&lt;'Параметры ПФ'!$J$3+0.01,E17*F17*G17,ROUNDDOWN('Параметры ПФ'!$J$3/IF(H17=0,I17,IF(I17&gt;H17,H17,I17)),0)*G17)</f>
        <v>0</v>
      </c>
      <c r="N17" s="27">
        <f t="shared" si="3"/>
        <v>0</v>
      </c>
    </row>
    <row r="18" spans="1:14" x14ac:dyDescent="0.25">
      <c r="A18" s="3" t="s">
        <v>2</v>
      </c>
      <c r="B18" s="3"/>
      <c r="C18" s="3" t="s">
        <v>5</v>
      </c>
      <c r="D18" s="18"/>
      <c r="E18" s="18"/>
      <c r="F18" s="19"/>
      <c r="G18" s="19"/>
      <c r="H18" s="20"/>
      <c r="I18" s="4">
        <f>HLOOKUP($C18,'Параметры ПФ'!$F$8:$K$13,6,FALSE)*'Параметры ПФ'!$G$25</f>
        <v>77.97</v>
      </c>
      <c r="J18" s="4">
        <f t="shared" si="1"/>
        <v>0</v>
      </c>
      <c r="K18" s="5">
        <f>IF(J18&lt;'Параметры ПФ'!$J$3+0.01,'Очно-заочные программы'!J18,ROUNDDOWN('Параметры ПФ'!$J$3/IF(H18=0,I18,IF(I18&gt;H18,H18,I18)),0)*IF(H18=0,I18,IF(I18&gt;H18,H18,I18)))</f>
        <v>0</v>
      </c>
      <c r="L18" s="4">
        <f t="shared" si="2"/>
        <v>0</v>
      </c>
      <c r="M18" s="35">
        <f>IF(J18&lt;'Параметры ПФ'!$J$3+0.01,E18*F18*G18,ROUNDDOWN('Параметры ПФ'!$J$3/IF(H18=0,I18,IF(I18&gt;H18,H18,I18)),0)*G18)</f>
        <v>0</v>
      </c>
      <c r="N18" s="27">
        <f t="shared" si="3"/>
        <v>0</v>
      </c>
    </row>
    <row r="19" spans="1:14" x14ac:dyDescent="0.25">
      <c r="A19" s="3" t="s">
        <v>2</v>
      </c>
      <c r="B19" s="3"/>
      <c r="C19" s="3" t="s">
        <v>5</v>
      </c>
      <c r="D19" s="18"/>
      <c r="E19" s="18"/>
      <c r="F19" s="19"/>
      <c r="G19" s="19"/>
      <c r="H19" s="20"/>
      <c r="I19" s="4">
        <f>HLOOKUP($C19,'Параметры ПФ'!$F$8:$K$13,6,FALSE)*'Параметры ПФ'!$G$25</f>
        <v>77.97</v>
      </c>
      <c r="J19" s="4">
        <f t="shared" si="1"/>
        <v>0</v>
      </c>
      <c r="K19" s="5">
        <f>IF(J19&lt;'Параметры ПФ'!$J$3+0.01,'Очно-заочные программы'!J19,ROUNDDOWN('Параметры ПФ'!$J$3/IF(H19=0,I19,IF(I19&gt;H19,H19,I19)),0)*IF(H19=0,I19,IF(I19&gt;H19,H19,I19)))</f>
        <v>0</v>
      </c>
      <c r="L19" s="4">
        <f t="shared" si="2"/>
        <v>0</v>
      </c>
      <c r="M19" s="35">
        <f>IF(J19&lt;'Параметры ПФ'!$J$3+0.01,E19*F19*G19,ROUNDDOWN('Параметры ПФ'!$J$3/IF(H19=0,I19,IF(I19&gt;H19,H19,I19)),0)*G19)</f>
        <v>0</v>
      </c>
      <c r="N19" s="27">
        <f t="shared" si="3"/>
        <v>0</v>
      </c>
    </row>
    <row r="20" spans="1:14" x14ac:dyDescent="0.25">
      <c r="A20" s="3" t="s">
        <v>2</v>
      </c>
      <c r="B20" s="3"/>
      <c r="C20" s="3" t="s">
        <v>5</v>
      </c>
      <c r="D20" s="18"/>
      <c r="E20" s="18"/>
      <c r="F20" s="19"/>
      <c r="G20" s="19"/>
      <c r="H20" s="20"/>
      <c r="I20" s="4">
        <f>HLOOKUP($C20,'Параметры ПФ'!$F$8:$K$13,6,FALSE)*'Параметры ПФ'!$G$25</f>
        <v>77.97</v>
      </c>
      <c r="J20" s="4">
        <f t="shared" si="1"/>
        <v>0</v>
      </c>
      <c r="K20" s="5">
        <f>IF(J20&lt;'Параметры ПФ'!$J$3+0.01,'Очно-заочные программы'!J20,ROUNDDOWN('Параметры ПФ'!$J$3/IF(H20=0,I20,IF(I20&gt;H20,H20,I20)),0)*IF(H20=0,I20,IF(I20&gt;H20,H20,I20)))</f>
        <v>0</v>
      </c>
      <c r="L20" s="4">
        <f t="shared" si="2"/>
        <v>0</v>
      </c>
      <c r="M20" s="35">
        <f>IF(J20&lt;'Параметры ПФ'!$J$3+0.01,E20*F20*G20,ROUNDDOWN('Параметры ПФ'!$J$3/IF(H20=0,I20,IF(I20&gt;H20,H20,I20)),0)*G20)</f>
        <v>0</v>
      </c>
      <c r="N20" s="27">
        <f t="shared" si="3"/>
        <v>0</v>
      </c>
    </row>
    <row r="21" spans="1:14" x14ac:dyDescent="0.25">
      <c r="A21" s="3" t="s">
        <v>2</v>
      </c>
      <c r="B21" s="3"/>
      <c r="C21" s="3" t="s">
        <v>5</v>
      </c>
      <c r="D21" s="18"/>
      <c r="E21" s="18"/>
      <c r="F21" s="19"/>
      <c r="G21" s="19"/>
      <c r="H21" s="20"/>
      <c r="I21" s="4">
        <f>HLOOKUP($C21,'Параметры ПФ'!$F$8:$K$13,6,FALSE)*'Параметры ПФ'!$G$25</f>
        <v>77.97</v>
      </c>
      <c r="J21" s="4">
        <f t="shared" si="1"/>
        <v>0</v>
      </c>
      <c r="K21" s="5">
        <f>IF(J21&lt;'Параметры ПФ'!$J$3+0.01,'Очно-заочные программы'!J21,ROUNDDOWN('Параметры ПФ'!$J$3/IF(H21=0,I21,IF(I21&gt;H21,H21,I21)),0)*IF(H21=0,I21,IF(I21&gt;H21,H21,I21)))</f>
        <v>0</v>
      </c>
      <c r="L21" s="4">
        <f t="shared" si="2"/>
        <v>0</v>
      </c>
      <c r="M21" s="35">
        <f>IF(J21&lt;'Параметры ПФ'!$J$3+0.01,E21*F21*G21,ROUNDDOWN('Параметры ПФ'!$J$3/IF(H21=0,I21,IF(I21&gt;H21,H21,I21)),0)*G21)</f>
        <v>0</v>
      </c>
      <c r="N21" s="27">
        <f t="shared" si="3"/>
        <v>0</v>
      </c>
    </row>
    <row r="22" spans="1:14" x14ac:dyDescent="0.25">
      <c r="A22" s="3" t="s">
        <v>2</v>
      </c>
      <c r="B22" s="3"/>
      <c r="C22" s="3" t="s">
        <v>5</v>
      </c>
      <c r="D22" s="18"/>
      <c r="E22" s="18"/>
      <c r="F22" s="19"/>
      <c r="G22" s="19"/>
      <c r="H22" s="20"/>
      <c r="I22" s="4">
        <f>HLOOKUP($C22,'Параметры ПФ'!$F$8:$K$13,6,FALSE)*'Параметры ПФ'!$G$25</f>
        <v>77.97</v>
      </c>
      <c r="J22" s="4">
        <f t="shared" si="1"/>
        <v>0</v>
      </c>
      <c r="K22" s="5">
        <f>IF(J22&lt;'Параметры ПФ'!$J$3+0.01,'Очно-заочные программы'!J22,ROUNDDOWN('Параметры ПФ'!$J$3/IF(H22=0,I22,IF(I22&gt;H22,H22,I22)),0)*IF(H22=0,I22,IF(I22&gt;H22,H22,I22)))</f>
        <v>0</v>
      </c>
      <c r="L22" s="4">
        <f t="shared" si="2"/>
        <v>0</v>
      </c>
      <c r="M22" s="35">
        <f>IF(J22&lt;'Параметры ПФ'!$J$3+0.01,E22*F22*G22,ROUNDDOWN('Параметры ПФ'!$J$3/IF(H22=0,I22,IF(I22&gt;H22,H22,I22)),0)*G22)</f>
        <v>0</v>
      </c>
      <c r="N22" s="27">
        <f t="shared" si="3"/>
        <v>0</v>
      </c>
    </row>
    <row r="23" spans="1:14" x14ac:dyDescent="0.25">
      <c r="A23" s="3" t="s">
        <v>2</v>
      </c>
      <c r="B23" s="3"/>
      <c r="C23" s="3" t="s">
        <v>5</v>
      </c>
      <c r="D23" s="18"/>
      <c r="E23" s="18"/>
      <c r="F23" s="19"/>
      <c r="G23" s="19"/>
      <c r="H23" s="20"/>
      <c r="I23" s="4">
        <f>HLOOKUP($C23,'Параметры ПФ'!$F$8:$K$13,6,FALSE)*'Параметры ПФ'!$G$25</f>
        <v>77.97</v>
      </c>
      <c r="J23" s="4">
        <f t="shared" si="1"/>
        <v>0</v>
      </c>
      <c r="K23" s="5">
        <f>IF(J23&lt;'Параметры ПФ'!$J$3+0.01,'Очно-заочные программы'!J23,ROUNDDOWN('Параметры ПФ'!$J$3/IF(H23=0,I23,IF(I23&gt;H23,H23,I23)),0)*IF(H23=0,I23,IF(I23&gt;H23,H23,I23)))</f>
        <v>0</v>
      </c>
      <c r="L23" s="4">
        <f t="shared" si="2"/>
        <v>0</v>
      </c>
      <c r="M23" s="35">
        <f>IF(J23&lt;'Параметры ПФ'!$J$3+0.01,E23*F23*G23,ROUNDDOWN('Параметры ПФ'!$J$3/IF(H23=0,I23,IF(I23&gt;H23,H23,I23)),0)*G23)</f>
        <v>0</v>
      </c>
      <c r="N23" s="27">
        <f t="shared" si="3"/>
        <v>0</v>
      </c>
    </row>
    <row r="24" spans="1:14" x14ac:dyDescent="0.25">
      <c r="A24" s="3" t="s">
        <v>2</v>
      </c>
      <c r="B24" s="3"/>
      <c r="C24" s="3" t="s">
        <v>5</v>
      </c>
      <c r="D24" s="18"/>
      <c r="E24" s="18"/>
      <c r="F24" s="19"/>
      <c r="G24" s="19"/>
      <c r="H24" s="20"/>
      <c r="I24" s="4">
        <f>HLOOKUP($C24,'Параметры ПФ'!$F$8:$K$13,6,FALSE)*'Параметры ПФ'!$G$25</f>
        <v>77.97</v>
      </c>
      <c r="J24" s="4">
        <f t="shared" si="1"/>
        <v>0</v>
      </c>
      <c r="K24" s="5">
        <f>IF(J24&lt;'Параметры ПФ'!$J$3+0.01,'Очно-заочные программы'!J24,ROUNDDOWN('Параметры ПФ'!$J$3/IF(H24=0,I24,IF(I24&gt;H24,H24,I24)),0)*IF(H24=0,I24,IF(I24&gt;H24,H24,I24)))</f>
        <v>0</v>
      </c>
      <c r="L24" s="4">
        <f t="shared" si="2"/>
        <v>0</v>
      </c>
      <c r="M24" s="35">
        <f>IF(J24&lt;'Параметры ПФ'!$J$3+0.01,E24*F24*G24,ROUNDDOWN('Параметры ПФ'!$J$3/IF(H24=0,I24,IF(I24&gt;H24,H24,I24)),0)*G24)</f>
        <v>0</v>
      </c>
      <c r="N24" s="27">
        <f t="shared" si="3"/>
        <v>0</v>
      </c>
    </row>
    <row r="25" spans="1:14" x14ac:dyDescent="0.25">
      <c r="A25" s="3" t="s">
        <v>2</v>
      </c>
      <c r="B25" s="3"/>
      <c r="C25" s="3" t="s">
        <v>5</v>
      </c>
      <c r="D25" s="18"/>
      <c r="E25" s="18"/>
      <c r="F25" s="19"/>
      <c r="G25" s="19"/>
      <c r="H25" s="20"/>
      <c r="I25" s="4">
        <f>HLOOKUP($C25,'Параметры ПФ'!$F$8:$K$13,6,FALSE)*'Параметры ПФ'!$G$25</f>
        <v>77.97</v>
      </c>
      <c r="J25" s="4">
        <f t="shared" si="1"/>
        <v>0</v>
      </c>
      <c r="K25" s="5">
        <f>IF(J25&lt;'Параметры ПФ'!$J$3+0.01,'Очно-заочные программы'!J25,ROUNDDOWN('Параметры ПФ'!$J$3/IF(H25=0,I25,IF(I25&gt;H25,H25,I25)),0)*IF(H25=0,I25,IF(I25&gt;H25,H25,I25)))</f>
        <v>0</v>
      </c>
      <c r="L25" s="4">
        <f t="shared" si="2"/>
        <v>0</v>
      </c>
      <c r="M25" s="35">
        <f>IF(J25&lt;'Параметры ПФ'!$J$3+0.01,E25*F25*G25,ROUNDDOWN('Параметры ПФ'!$J$3/IF(H25=0,I25,IF(I25&gt;H25,H25,I25)),0)*G25)</f>
        <v>0</v>
      </c>
      <c r="N25" s="27">
        <f t="shared" si="3"/>
        <v>0</v>
      </c>
    </row>
    <row r="26" spans="1:14" x14ac:dyDescent="0.25">
      <c r="A26" s="3" t="s">
        <v>2</v>
      </c>
      <c r="B26" s="3"/>
      <c r="C26" s="3" t="s">
        <v>5</v>
      </c>
      <c r="D26" s="18"/>
      <c r="E26" s="18"/>
      <c r="F26" s="19"/>
      <c r="G26" s="19"/>
      <c r="H26" s="20"/>
      <c r="I26" s="4">
        <f>HLOOKUP($C26,'Параметры ПФ'!$F$8:$K$13,6,FALSE)*'Параметры ПФ'!$G$25</f>
        <v>77.97</v>
      </c>
      <c r="J26" s="4">
        <f t="shared" si="1"/>
        <v>0</v>
      </c>
      <c r="K26" s="5">
        <f>IF(J26&lt;'Параметры ПФ'!$J$3+0.01,'Очно-заочные программы'!J26,ROUNDDOWN('Параметры ПФ'!$J$3/IF(H26=0,I26,IF(I26&gt;H26,H26,I26)),0)*IF(H26=0,I26,IF(I26&gt;H26,H26,I26)))</f>
        <v>0</v>
      </c>
      <c r="L26" s="4">
        <f t="shared" si="2"/>
        <v>0</v>
      </c>
      <c r="M26" s="35">
        <f>IF(J26&lt;'Параметры ПФ'!$J$3+0.01,E26*F26*G26,ROUNDDOWN('Параметры ПФ'!$J$3/IF(H26=0,I26,IF(I26&gt;H26,H26,I26)),0)*G26)</f>
        <v>0</v>
      </c>
      <c r="N26" s="27">
        <f t="shared" si="3"/>
        <v>0</v>
      </c>
    </row>
    <row r="27" spans="1:14" x14ac:dyDescent="0.25">
      <c r="A27" s="3" t="s">
        <v>2</v>
      </c>
      <c r="B27" s="3"/>
      <c r="C27" s="3" t="s">
        <v>5</v>
      </c>
      <c r="D27" s="18"/>
      <c r="E27" s="18"/>
      <c r="F27" s="19"/>
      <c r="G27" s="19"/>
      <c r="H27" s="20"/>
      <c r="I27" s="4">
        <f>HLOOKUP($C27,'Параметры ПФ'!$F$8:$K$13,6,FALSE)*'Параметры ПФ'!$G$25</f>
        <v>77.97</v>
      </c>
      <c r="J27" s="4">
        <f t="shared" si="1"/>
        <v>0</v>
      </c>
      <c r="K27" s="5">
        <f>IF(J27&lt;'Параметры ПФ'!$J$3+0.01,'Очно-заочные программы'!J27,ROUNDDOWN('Параметры ПФ'!$J$3/IF(H27=0,I27,IF(I27&gt;H27,H27,I27)),0)*IF(H27=0,I27,IF(I27&gt;H27,H27,I27)))</f>
        <v>0</v>
      </c>
      <c r="L27" s="4">
        <f t="shared" si="2"/>
        <v>0</v>
      </c>
      <c r="M27" s="35">
        <f>IF(J27&lt;'Параметры ПФ'!$J$3+0.01,E27*F27*G27,ROUNDDOWN('Параметры ПФ'!$J$3/IF(H27=0,I27,IF(I27&gt;H27,H27,I27)),0)*G27)</f>
        <v>0</v>
      </c>
      <c r="N27" s="27">
        <f t="shared" si="3"/>
        <v>0</v>
      </c>
    </row>
    <row r="28" spans="1:14" x14ac:dyDescent="0.25">
      <c r="A28" s="3" t="s">
        <v>2</v>
      </c>
      <c r="B28" s="3"/>
      <c r="C28" s="3" t="s">
        <v>5</v>
      </c>
      <c r="D28" s="18"/>
      <c r="E28" s="18"/>
      <c r="F28" s="19"/>
      <c r="G28" s="19"/>
      <c r="H28" s="20"/>
      <c r="I28" s="4">
        <f>HLOOKUP($C28,'Параметры ПФ'!$F$8:$K$13,6,FALSE)*'Параметры ПФ'!$G$25</f>
        <v>77.97</v>
      </c>
      <c r="J28" s="4">
        <f t="shared" si="1"/>
        <v>0</v>
      </c>
      <c r="K28" s="5">
        <f>IF(J28&lt;'Параметры ПФ'!$J$3+0.01,'Очно-заочные программы'!J28,ROUNDDOWN('Параметры ПФ'!$J$3/IF(H28=0,I28,IF(I28&gt;H28,H28,I28)),0)*IF(H28=0,I28,IF(I28&gt;H28,H28,I28)))</f>
        <v>0</v>
      </c>
      <c r="L28" s="4">
        <f t="shared" si="2"/>
        <v>0</v>
      </c>
      <c r="M28" s="35">
        <f>IF(J28&lt;'Параметры ПФ'!$J$3+0.01,E28*F28*G28,ROUNDDOWN('Параметры ПФ'!$J$3/IF(H28=0,I28,IF(I28&gt;H28,H28,I28)),0)*G28)</f>
        <v>0</v>
      </c>
      <c r="N28" s="27">
        <f t="shared" si="3"/>
        <v>0</v>
      </c>
    </row>
    <row r="29" spans="1:14" x14ac:dyDescent="0.25">
      <c r="A29" s="3" t="s">
        <v>2</v>
      </c>
      <c r="B29" s="3"/>
      <c r="C29" s="3" t="s">
        <v>5</v>
      </c>
      <c r="D29" s="18"/>
      <c r="E29" s="18"/>
      <c r="F29" s="19"/>
      <c r="G29" s="19"/>
      <c r="H29" s="20"/>
      <c r="I29" s="4">
        <f>HLOOKUP($C29,'Параметры ПФ'!$F$8:$K$13,6,FALSE)*'Параметры ПФ'!$G$25</f>
        <v>77.97</v>
      </c>
      <c r="J29" s="4">
        <f t="shared" si="1"/>
        <v>0</v>
      </c>
      <c r="K29" s="5">
        <f>IF(J29&lt;'Параметры ПФ'!$J$3+0.01,'Очно-заочные программы'!J29,ROUNDDOWN('Параметры ПФ'!$J$3/IF(H29=0,I29,IF(I29&gt;H29,H29,I29)),0)*IF(H29=0,I29,IF(I29&gt;H29,H29,I29)))</f>
        <v>0</v>
      </c>
      <c r="L29" s="4">
        <f t="shared" si="2"/>
        <v>0</v>
      </c>
      <c r="M29" s="35">
        <f>IF(J29&lt;'Параметры ПФ'!$J$3+0.01,E29*F29*G29,ROUNDDOWN('Параметры ПФ'!$J$3/IF(H29=0,I29,IF(I29&gt;H29,H29,I29)),0)*G29)</f>
        <v>0</v>
      </c>
      <c r="N29" s="27">
        <f t="shared" si="3"/>
        <v>0</v>
      </c>
    </row>
    <row r="30" spans="1:14" x14ac:dyDescent="0.25">
      <c r="A30" s="3" t="s">
        <v>2</v>
      </c>
      <c r="B30" s="3"/>
      <c r="C30" s="3" t="s">
        <v>5</v>
      </c>
      <c r="D30" s="18"/>
      <c r="E30" s="18"/>
      <c r="F30" s="19"/>
      <c r="G30" s="19"/>
      <c r="H30" s="20"/>
      <c r="I30" s="4">
        <f>HLOOKUP($C30,'Параметры ПФ'!$F$8:$K$13,6,FALSE)*'Параметры ПФ'!$G$25</f>
        <v>77.97</v>
      </c>
      <c r="J30" s="4">
        <f t="shared" si="1"/>
        <v>0</v>
      </c>
      <c r="K30" s="5">
        <f>IF(J30&lt;'Параметры ПФ'!$J$3+0.01,'Очно-заочные программы'!J30,ROUNDDOWN('Параметры ПФ'!$J$3/IF(H30=0,I30,IF(I30&gt;H30,H30,I30)),0)*IF(H30=0,I30,IF(I30&gt;H30,H30,I30)))</f>
        <v>0</v>
      </c>
      <c r="L30" s="4">
        <f t="shared" si="2"/>
        <v>0</v>
      </c>
      <c r="M30" s="35">
        <f>IF(J30&lt;'Параметры ПФ'!$J$3+0.01,E30*F30*G30,ROUNDDOWN('Параметры ПФ'!$J$3/IF(H30=0,I30,IF(I30&gt;H30,H30,I30)),0)*G30)</f>
        <v>0</v>
      </c>
      <c r="N30" s="27">
        <f t="shared" si="3"/>
        <v>0</v>
      </c>
    </row>
    <row r="31" spans="1:14" x14ac:dyDescent="0.25">
      <c r="A31" s="3" t="s">
        <v>2</v>
      </c>
      <c r="B31" s="3"/>
      <c r="C31" s="3" t="s">
        <v>5</v>
      </c>
      <c r="D31" s="18"/>
      <c r="E31" s="18"/>
      <c r="F31" s="19"/>
      <c r="G31" s="19"/>
      <c r="H31" s="20"/>
      <c r="I31" s="4">
        <f>HLOOKUP($C31,'Параметры ПФ'!$F$8:$K$13,6,FALSE)*'Параметры ПФ'!$G$25</f>
        <v>77.97</v>
      </c>
      <c r="J31" s="4">
        <f t="shared" si="1"/>
        <v>0</v>
      </c>
      <c r="K31" s="5">
        <f>IF(J31&lt;'Параметры ПФ'!$J$3+0.01,'Очно-заочные программы'!J31,ROUNDDOWN('Параметры ПФ'!$J$3/IF(H31=0,I31,IF(I31&gt;H31,H31,I31)),0)*IF(H31=0,I31,IF(I31&gt;H31,H31,I31)))</f>
        <v>0</v>
      </c>
      <c r="L31" s="4">
        <f t="shared" si="2"/>
        <v>0</v>
      </c>
      <c r="M31" s="35">
        <f>IF(J31&lt;'Параметры ПФ'!$J$3+0.01,E31*F31*G31,ROUNDDOWN('Параметры ПФ'!$J$3/IF(H31=0,I31,IF(I31&gt;H31,H31,I31)),0)*G31)</f>
        <v>0</v>
      </c>
      <c r="N31" s="27">
        <f t="shared" si="3"/>
        <v>0</v>
      </c>
    </row>
    <row r="32" spans="1:14" x14ac:dyDescent="0.25">
      <c r="A32" s="3" t="s">
        <v>2</v>
      </c>
      <c r="B32" s="3"/>
      <c r="C32" s="3" t="s">
        <v>5</v>
      </c>
      <c r="D32" s="18"/>
      <c r="E32" s="18"/>
      <c r="F32" s="19"/>
      <c r="G32" s="19"/>
      <c r="H32" s="20"/>
      <c r="I32" s="4">
        <f>HLOOKUP($C32,'Параметры ПФ'!$F$8:$K$13,6,FALSE)*'Параметры ПФ'!$G$25</f>
        <v>77.97</v>
      </c>
      <c r="J32" s="4">
        <f t="shared" si="1"/>
        <v>0</v>
      </c>
      <c r="K32" s="5">
        <f>IF(J32&lt;'Параметры ПФ'!$J$3+0.01,'Очно-заочные программы'!J32,ROUNDDOWN('Параметры ПФ'!$J$3/IF(H32=0,I32,IF(I32&gt;H32,H32,I32)),0)*IF(H32=0,I32,IF(I32&gt;H32,H32,I32)))</f>
        <v>0</v>
      </c>
      <c r="L32" s="4">
        <f t="shared" si="2"/>
        <v>0</v>
      </c>
      <c r="M32" s="35">
        <f>IF(J32&lt;'Параметры ПФ'!$J$3+0.01,E32*F32*G32,ROUNDDOWN('Параметры ПФ'!$J$3/IF(H32=0,I32,IF(I32&gt;H32,H32,I32)),0)*G32)</f>
        <v>0</v>
      </c>
      <c r="N32" s="27">
        <f t="shared" si="3"/>
        <v>0</v>
      </c>
    </row>
    <row r="33" spans="1:14" x14ac:dyDescent="0.25">
      <c r="A33" s="3" t="s">
        <v>2</v>
      </c>
      <c r="B33" s="3"/>
      <c r="C33" s="3" t="s">
        <v>5</v>
      </c>
      <c r="D33" s="18"/>
      <c r="E33" s="18"/>
      <c r="F33" s="19"/>
      <c r="G33" s="19"/>
      <c r="H33" s="20"/>
      <c r="I33" s="4">
        <f>HLOOKUP($C33,'Параметры ПФ'!$F$8:$K$13,6,FALSE)*'Параметры ПФ'!$G$25</f>
        <v>77.97</v>
      </c>
      <c r="J33" s="4">
        <f t="shared" si="1"/>
        <v>0</v>
      </c>
      <c r="K33" s="5">
        <f>IF(J33&lt;'Параметры ПФ'!$J$3+0.01,'Очно-заочные программы'!J33,ROUNDDOWN('Параметры ПФ'!$J$3/IF(H33=0,I33,IF(I33&gt;H33,H33,I33)),0)*IF(H33=0,I33,IF(I33&gt;H33,H33,I33)))</f>
        <v>0</v>
      </c>
      <c r="L33" s="4">
        <f t="shared" si="2"/>
        <v>0</v>
      </c>
      <c r="M33" s="35">
        <f>IF(J33&lt;'Параметры ПФ'!$J$3+0.01,E33*F33*G33,ROUNDDOWN('Параметры ПФ'!$J$3/IF(H33=0,I33,IF(I33&gt;H33,H33,I33)),0)*G33)</f>
        <v>0</v>
      </c>
      <c r="N33" s="27">
        <f t="shared" si="3"/>
        <v>0</v>
      </c>
    </row>
    <row r="34" spans="1:14" x14ac:dyDescent="0.25">
      <c r="A34" s="3" t="s">
        <v>2</v>
      </c>
      <c r="B34" s="3"/>
      <c r="C34" s="3" t="s">
        <v>5</v>
      </c>
      <c r="D34" s="18"/>
      <c r="E34" s="18"/>
      <c r="F34" s="19"/>
      <c r="G34" s="19"/>
      <c r="H34" s="20"/>
      <c r="I34" s="4">
        <f>HLOOKUP($C34,'Параметры ПФ'!$F$8:$K$13,6,FALSE)*'Параметры ПФ'!$G$25</f>
        <v>77.97</v>
      </c>
      <c r="J34" s="4">
        <f t="shared" si="1"/>
        <v>0</v>
      </c>
      <c r="K34" s="5">
        <f>IF(J34&lt;'Параметры ПФ'!$J$3+0.01,'Очно-заочные программы'!J34,ROUNDDOWN('Параметры ПФ'!$J$3/IF(H34=0,I34,IF(I34&gt;H34,H34,I34)),0)*IF(H34=0,I34,IF(I34&gt;H34,H34,I34)))</f>
        <v>0</v>
      </c>
      <c r="L34" s="4">
        <f t="shared" si="2"/>
        <v>0</v>
      </c>
      <c r="M34" s="35">
        <f>IF(J34&lt;'Параметры ПФ'!$J$3+0.01,E34*F34*G34,ROUNDDOWN('Параметры ПФ'!$J$3/IF(H34=0,I34,IF(I34&gt;H34,H34,I34)),0)*G34)</f>
        <v>0</v>
      </c>
      <c r="N34" s="27">
        <f t="shared" si="3"/>
        <v>0</v>
      </c>
    </row>
    <row r="35" spans="1:14" x14ac:dyDescent="0.25">
      <c r="A35" s="3" t="s">
        <v>2</v>
      </c>
      <c r="B35" s="3"/>
      <c r="C35" s="3" t="s">
        <v>5</v>
      </c>
      <c r="D35" s="18"/>
      <c r="E35" s="18"/>
      <c r="F35" s="19"/>
      <c r="G35" s="19"/>
      <c r="H35" s="20"/>
      <c r="I35" s="4">
        <f>HLOOKUP($C35,'Параметры ПФ'!$F$8:$K$13,6,FALSE)*'Параметры ПФ'!$G$25</f>
        <v>77.97</v>
      </c>
      <c r="J35" s="4">
        <f t="shared" si="1"/>
        <v>0</v>
      </c>
      <c r="K35" s="5">
        <f>IF(J35&lt;'Параметры ПФ'!$J$3+0.01,'Очно-заочные программы'!J35,ROUNDDOWN('Параметры ПФ'!$J$3/IF(H35=0,I35,IF(I35&gt;H35,H35,I35)),0)*IF(H35=0,I35,IF(I35&gt;H35,H35,I35)))</f>
        <v>0</v>
      </c>
      <c r="L35" s="4">
        <f t="shared" si="2"/>
        <v>0</v>
      </c>
      <c r="M35" s="35">
        <f>IF(J35&lt;'Параметры ПФ'!$J$3+0.01,E35*F35*G35,ROUNDDOWN('Параметры ПФ'!$J$3/IF(H35=0,I35,IF(I35&gt;H35,H35,I35)),0)*G35)</f>
        <v>0</v>
      </c>
      <c r="N35" s="27">
        <f t="shared" si="3"/>
        <v>0</v>
      </c>
    </row>
    <row r="36" spans="1:14" x14ac:dyDescent="0.25">
      <c r="A36" s="3" t="s">
        <v>2</v>
      </c>
      <c r="B36" s="3"/>
      <c r="C36" s="3" t="s">
        <v>5</v>
      </c>
      <c r="D36" s="18"/>
      <c r="E36" s="18"/>
      <c r="F36" s="19"/>
      <c r="G36" s="19"/>
      <c r="H36" s="20"/>
      <c r="I36" s="4">
        <f>HLOOKUP($C36,'Параметры ПФ'!$F$8:$K$13,6,FALSE)*'Параметры ПФ'!$G$25</f>
        <v>77.97</v>
      </c>
      <c r="J36" s="4">
        <f t="shared" si="1"/>
        <v>0</v>
      </c>
      <c r="K36" s="5">
        <f>IF(J36&lt;'Параметры ПФ'!$J$3+0.01,'Очно-заочные программы'!J36,ROUNDDOWN('Параметры ПФ'!$J$3/IF(H36=0,I36,IF(I36&gt;H36,H36,I36)),0)*IF(H36=0,I36,IF(I36&gt;H36,H36,I36)))</f>
        <v>0</v>
      </c>
      <c r="L36" s="4">
        <f t="shared" si="2"/>
        <v>0</v>
      </c>
      <c r="M36" s="35">
        <f>IF(J36&lt;'Параметры ПФ'!$J$3+0.01,E36*F36*G36,ROUNDDOWN('Параметры ПФ'!$J$3/IF(H36=0,I36,IF(I36&gt;H36,H36,I36)),0)*G36)</f>
        <v>0</v>
      </c>
      <c r="N36" s="27">
        <f t="shared" si="3"/>
        <v>0</v>
      </c>
    </row>
    <row r="37" spans="1:14" x14ac:dyDescent="0.25">
      <c r="A37" s="3" t="s">
        <v>2</v>
      </c>
      <c r="B37" s="3"/>
      <c r="C37" s="3" t="s">
        <v>5</v>
      </c>
      <c r="D37" s="18"/>
      <c r="E37" s="18"/>
      <c r="F37" s="19"/>
      <c r="G37" s="19"/>
      <c r="H37" s="20"/>
      <c r="I37" s="4">
        <f>HLOOKUP($C37,'Параметры ПФ'!$F$8:$K$13,6,FALSE)*'Параметры ПФ'!$G$25</f>
        <v>77.97</v>
      </c>
      <c r="J37" s="4">
        <f t="shared" si="1"/>
        <v>0</v>
      </c>
      <c r="K37" s="5">
        <f>IF(J37&lt;'Параметры ПФ'!$J$3+0.01,'Очно-заочные программы'!J37,ROUNDDOWN('Параметры ПФ'!$J$3/IF(H37=0,I37,IF(I37&gt;H37,H37,I37)),0)*IF(H37=0,I37,IF(I37&gt;H37,H37,I37)))</f>
        <v>0</v>
      </c>
      <c r="L37" s="4">
        <f t="shared" si="2"/>
        <v>0</v>
      </c>
      <c r="M37" s="35">
        <f>IF(J37&lt;'Параметры ПФ'!$J$3+0.01,E37*F37*G37,ROUNDDOWN('Параметры ПФ'!$J$3/IF(H37=0,I37,IF(I37&gt;H37,H37,I37)),0)*G37)</f>
        <v>0</v>
      </c>
      <c r="N37" s="27">
        <f t="shared" si="3"/>
        <v>0</v>
      </c>
    </row>
    <row r="38" spans="1:14" x14ac:dyDescent="0.25">
      <c r="A38" s="3" t="s">
        <v>2</v>
      </c>
      <c r="B38" s="3"/>
      <c r="C38" s="3" t="s">
        <v>5</v>
      </c>
      <c r="D38" s="18"/>
      <c r="E38" s="18"/>
      <c r="F38" s="19"/>
      <c r="G38" s="19"/>
      <c r="H38" s="20"/>
      <c r="I38" s="4">
        <f>HLOOKUP($C38,'Параметры ПФ'!$F$8:$K$13,6,FALSE)*'Параметры ПФ'!$G$25</f>
        <v>77.97</v>
      </c>
      <c r="J38" s="4">
        <f t="shared" si="1"/>
        <v>0</v>
      </c>
      <c r="K38" s="5">
        <f>IF(J38&lt;'Параметры ПФ'!$J$3+0.01,'Очно-заочные программы'!J38,ROUNDDOWN('Параметры ПФ'!$J$3/IF(H38=0,I38,IF(I38&gt;H38,H38,I38)),0)*IF(H38=0,I38,IF(I38&gt;H38,H38,I38)))</f>
        <v>0</v>
      </c>
      <c r="L38" s="4">
        <f t="shared" si="2"/>
        <v>0</v>
      </c>
      <c r="M38" s="35">
        <f>IF(J38&lt;'Параметры ПФ'!$J$3+0.01,E38*F38*G38,ROUNDDOWN('Параметры ПФ'!$J$3/IF(H38=0,I38,IF(I38&gt;H38,H38,I38)),0)*G38)</f>
        <v>0</v>
      </c>
      <c r="N38" s="27">
        <f t="shared" si="3"/>
        <v>0</v>
      </c>
    </row>
    <row r="39" spans="1:14" x14ac:dyDescent="0.25">
      <c r="A39" s="121"/>
      <c r="B39" s="121"/>
      <c r="C39" s="121"/>
      <c r="D39" s="121"/>
      <c r="E39" s="121"/>
      <c r="F39" s="121"/>
      <c r="G39" s="6">
        <f>SUM(G2:G38)</f>
        <v>0</v>
      </c>
      <c r="H39" s="7" t="s">
        <v>30</v>
      </c>
      <c r="I39" s="8" t="s">
        <v>30</v>
      </c>
      <c r="J39" s="7" t="s">
        <v>30</v>
      </c>
      <c r="K39" s="8" t="s">
        <v>30</v>
      </c>
      <c r="L39" s="33">
        <f>SUM(L2:L38)</f>
        <v>0</v>
      </c>
      <c r="M39" s="36">
        <f>SUM(M2:M38)</f>
        <v>0</v>
      </c>
      <c r="N39" s="28" t="s">
        <v>30</v>
      </c>
    </row>
  </sheetData>
  <mergeCells count="1">
    <mergeCell ref="A39:F39"/>
  </mergeCells>
  <conditionalFormatting sqref="N2:N38">
    <cfRule type="cellIs" dxfId="1" priority="1" operator="greaterThan">
      <formula>#REF!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1D66EA-5A08-4C22-9873-7AF16E39AC6E}">
          <x14:formula1>
            <xm:f>'Параметры ПФ'!$F$8:$K$8</xm:f>
          </x14:formula1>
          <xm:sqref>C2:C38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9"/>
  <sheetViews>
    <sheetView zoomScale="80" zoomScaleNormal="80" workbookViewId="0">
      <selection activeCell="H2" sqref="H2:H4"/>
    </sheetView>
  </sheetViews>
  <sheetFormatPr defaultRowHeight="15.75" x14ac:dyDescent="0.25"/>
  <cols>
    <col min="1" max="2" width="19" customWidth="1"/>
    <col min="3" max="3" width="24.75" customWidth="1"/>
    <col min="8" max="8" width="12.875" customWidth="1"/>
    <col min="10" max="12" width="12.625" customWidth="1"/>
    <col min="14" max="14" width="13.75" customWidth="1"/>
  </cols>
  <sheetData>
    <row r="1" spans="1:14" ht="110.25" x14ac:dyDescent="0.25">
      <c r="A1" s="13" t="s">
        <v>26</v>
      </c>
      <c r="B1" s="13" t="s">
        <v>27</v>
      </c>
      <c r="C1" s="13" t="s">
        <v>9</v>
      </c>
      <c r="D1" s="14" t="s">
        <v>8</v>
      </c>
      <c r="E1" s="14" t="s">
        <v>45</v>
      </c>
      <c r="F1" s="14" t="s">
        <v>31</v>
      </c>
      <c r="G1" s="14" t="s">
        <v>28</v>
      </c>
      <c r="H1" s="15" t="s">
        <v>32</v>
      </c>
      <c r="I1" s="16" t="s">
        <v>29</v>
      </c>
      <c r="J1" s="16" t="s">
        <v>46</v>
      </c>
      <c r="K1" s="30" t="s">
        <v>47</v>
      </c>
      <c r="L1" s="16" t="s">
        <v>36</v>
      </c>
      <c r="M1" s="16" t="s">
        <v>53</v>
      </c>
      <c r="N1" s="26" t="s">
        <v>48</v>
      </c>
    </row>
    <row r="2" spans="1:14" x14ac:dyDescent="0.25">
      <c r="A2" s="3" t="s">
        <v>1</v>
      </c>
      <c r="B2" s="3"/>
      <c r="C2" s="3" t="s">
        <v>5</v>
      </c>
      <c r="D2" s="18"/>
      <c r="E2" s="18"/>
      <c r="F2" s="19"/>
      <c r="G2" s="19"/>
      <c r="H2" s="20"/>
      <c r="I2" s="4">
        <f>HLOOKUP($C2,'Параметры ПФ'!$F$8:$K$13,6,FALSE)*'Параметры ПФ'!$G$22</f>
        <v>77.97</v>
      </c>
      <c r="J2" s="4">
        <f>IF(H2=0,I2*F2*E2,IF(I2&gt;H2,H2*F2*E2,I2*F2*E2))</f>
        <v>0</v>
      </c>
      <c r="K2" s="5">
        <f>IF(J2&lt;'Параметры ПФ'!$L$3+0.01,'Адаптированные программы'!J2,ROUNDDOWN('Параметры ПФ'!$L$3/IF(H2=0,I2,IF(I2&gt;H2,H2,I2)),0)*IF(H2=0,I2,IF(I2&gt;H2,H2,I2)))</f>
        <v>0</v>
      </c>
      <c r="L2" s="4">
        <f t="shared" ref="L2" si="0">K2*G2</f>
        <v>0</v>
      </c>
      <c r="M2" s="35">
        <f>IF(J2&lt;'Параметры ПФ'!$L$3+0.01,E2*F2*G2,ROUNDDOWN('Параметры ПФ'!$L$3/IF(H2=0,I2,IF(I2&gt;H2,H2,I2)),0)*G2)</f>
        <v>0</v>
      </c>
      <c r="N2" s="27">
        <f>IF(H2=0,I2*F2*E2,IF(I2&gt;H2,H2*F2*E2,I2*F2*E2))-K2</f>
        <v>0</v>
      </c>
    </row>
    <row r="3" spans="1:14" x14ac:dyDescent="0.25">
      <c r="A3" s="3" t="s">
        <v>1</v>
      </c>
      <c r="B3" s="3"/>
      <c r="C3" s="3" t="s">
        <v>5</v>
      </c>
      <c r="D3" s="18"/>
      <c r="E3" s="18"/>
      <c r="F3" s="19"/>
      <c r="G3" s="19"/>
      <c r="H3" s="20"/>
      <c r="I3" s="4">
        <f>HLOOKUP($C3,'Параметры ПФ'!$F$8:$K$13,6,FALSE)*'Параметры ПФ'!$G$22</f>
        <v>77.97</v>
      </c>
      <c r="J3" s="4">
        <f t="shared" ref="J3:J38" si="1">IF(H3=0,I3*F3*E3,IF(I3&gt;H3,H3*F3*E3,I3*F3*E3))</f>
        <v>0</v>
      </c>
      <c r="K3" s="5">
        <f>IF(J3&lt;'Параметры ПФ'!$L$3+0.01,'Адаптированные программы'!J3,ROUNDDOWN('Параметры ПФ'!$L$3/IF(H3=0,I3,IF(I3&gt;H3,H3,I3)),0)*IF(H3=0,I3,IF(I3&gt;H3,H3,I3)))</f>
        <v>0</v>
      </c>
      <c r="L3" s="4">
        <f t="shared" ref="L3:L38" si="2">K3*G3</f>
        <v>0</v>
      </c>
      <c r="M3" s="35">
        <f>IF(J3&lt;'Параметры ПФ'!$L$3+0.01,E3*F3*G3,ROUNDDOWN('Параметры ПФ'!$L$3/IF(H3=0,I3,IF(I3&gt;H3,H3,I3)),0)*G3)</f>
        <v>0</v>
      </c>
      <c r="N3" s="27">
        <f t="shared" ref="N3:N4" si="3">IF(H3=0,I3*F3*E3,IF(I3&gt;H3,H3*F3*E3,I3*F3*E3))-K3</f>
        <v>0</v>
      </c>
    </row>
    <row r="4" spans="1:14" x14ac:dyDescent="0.25">
      <c r="A4" s="3" t="s">
        <v>2</v>
      </c>
      <c r="B4" s="3"/>
      <c r="C4" s="3" t="s">
        <v>5</v>
      </c>
      <c r="D4" s="18"/>
      <c r="E4" s="18"/>
      <c r="F4" s="19"/>
      <c r="G4" s="19"/>
      <c r="H4" s="20"/>
      <c r="I4" s="4">
        <f>HLOOKUP($C4,'Параметры ПФ'!$F$8:$K$13,6,FALSE)*'Параметры ПФ'!$G$22</f>
        <v>77.97</v>
      </c>
      <c r="J4" s="4">
        <f t="shared" si="1"/>
        <v>0</v>
      </c>
      <c r="K4" s="5">
        <f>IF(J4&lt;'Параметры ПФ'!$L$3+0.01,'Адаптированные программы'!J4,ROUNDDOWN('Параметры ПФ'!$L$3/IF(H4=0,I4,IF(I4&gt;H4,H4,I4)),0)*IF(H4=0,I4,IF(I4&gt;H4,H4,I4)))</f>
        <v>0</v>
      </c>
      <c r="L4" s="4">
        <f t="shared" si="2"/>
        <v>0</v>
      </c>
      <c r="M4" s="35">
        <f>IF(J4&lt;'Параметры ПФ'!$L$3+0.01,E4*F4*G4,ROUNDDOWN('Параметры ПФ'!$L$3/IF(H4=0,I4,IF(I4&gt;H4,H4,I4)),0)*G4)</f>
        <v>0</v>
      </c>
      <c r="N4" s="27">
        <f t="shared" si="3"/>
        <v>0</v>
      </c>
    </row>
    <row r="5" spans="1:14" x14ac:dyDescent="0.25">
      <c r="A5" s="3" t="s">
        <v>1</v>
      </c>
      <c r="B5" s="3"/>
      <c r="C5" s="3" t="s">
        <v>5</v>
      </c>
      <c r="D5" s="18"/>
      <c r="E5" s="18"/>
      <c r="F5" s="19"/>
      <c r="G5" s="19"/>
      <c r="H5" s="20"/>
      <c r="I5" s="4">
        <f>HLOOKUP($C5,'Параметры ПФ'!$F$8:$K$13,6,FALSE)*'Параметры ПФ'!$G$22</f>
        <v>77.97</v>
      </c>
      <c r="J5" s="4">
        <f t="shared" si="1"/>
        <v>0</v>
      </c>
      <c r="K5" s="5">
        <f>IF(J5&lt;'Параметры ПФ'!$L$3+0.01,'Адаптированные программы'!J5,ROUNDDOWN('Параметры ПФ'!$L$3/IF(H5=0,I5,IF(I5&gt;H5,H5,I5)),0)*IF(H5=0,I5,IF(I5&gt;H5,H5,I5)))</f>
        <v>0</v>
      </c>
      <c r="L5" s="4">
        <f t="shared" si="2"/>
        <v>0</v>
      </c>
      <c r="M5" s="35">
        <f>IF(J5&lt;'Параметры ПФ'!$L$3+0.01,E5*F5*G5,ROUNDDOWN('Параметры ПФ'!$L$3/IF(H5=0,I5,IF(I5&gt;H5,H5,I5)),0)*G5)</f>
        <v>0</v>
      </c>
      <c r="N5" s="27">
        <f t="shared" ref="N5:N38" si="4">IF(H5=0,I5*F5*E5,IF(I5&gt;H5,H5*F5*E5,I5*F5*E5))-K5</f>
        <v>0</v>
      </c>
    </row>
    <row r="6" spans="1:14" x14ac:dyDescent="0.25">
      <c r="A6" s="3" t="s">
        <v>2</v>
      </c>
      <c r="B6" s="3"/>
      <c r="C6" s="3" t="s">
        <v>5</v>
      </c>
      <c r="D6" s="18"/>
      <c r="E6" s="18"/>
      <c r="F6" s="19"/>
      <c r="G6" s="19"/>
      <c r="H6" s="20"/>
      <c r="I6" s="4">
        <f>HLOOKUP($C6,'Параметры ПФ'!$F$8:$K$13,6,FALSE)*'Параметры ПФ'!$G$22</f>
        <v>77.97</v>
      </c>
      <c r="J6" s="4">
        <f t="shared" si="1"/>
        <v>0</v>
      </c>
      <c r="K6" s="5">
        <f>IF(J6&lt;'Параметры ПФ'!$L$3+0.01,'Адаптированные программы'!J6,ROUNDDOWN('Параметры ПФ'!$L$3/IF(H6=0,I6,IF(I6&gt;H6,H6,I6)),0)*IF(H6=0,I6,IF(I6&gt;H6,H6,I6)))</f>
        <v>0</v>
      </c>
      <c r="L6" s="4">
        <f t="shared" si="2"/>
        <v>0</v>
      </c>
      <c r="M6" s="35">
        <f>IF(J6&lt;'Параметры ПФ'!$L$3+0.01,E6*F6*G6,ROUNDDOWN('Параметры ПФ'!$L$3/IF(H6=0,I6,IF(I6&gt;H6,H6,I6)),0)*G6)</f>
        <v>0</v>
      </c>
      <c r="N6" s="27">
        <f t="shared" si="4"/>
        <v>0</v>
      </c>
    </row>
    <row r="7" spans="1:14" x14ac:dyDescent="0.25">
      <c r="A7" s="3" t="s">
        <v>2</v>
      </c>
      <c r="B7" s="3"/>
      <c r="C7" s="3" t="s">
        <v>5</v>
      </c>
      <c r="D7" s="18"/>
      <c r="E7" s="18"/>
      <c r="F7" s="19"/>
      <c r="G7" s="19"/>
      <c r="H7" s="20"/>
      <c r="I7" s="4">
        <f>HLOOKUP($C7,'Параметры ПФ'!$F$8:$K$13,6,FALSE)*'Параметры ПФ'!$G$22</f>
        <v>77.97</v>
      </c>
      <c r="J7" s="4">
        <f t="shared" si="1"/>
        <v>0</v>
      </c>
      <c r="K7" s="5">
        <f>IF(J7&lt;'Параметры ПФ'!$L$3+0.01,'Адаптированные программы'!J7,ROUNDDOWN('Параметры ПФ'!$L$3/IF(H7=0,I7,IF(I7&gt;H7,H7,I7)),0)*IF(H7=0,I7,IF(I7&gt;H7,H7,I7)))</f>
        <v>0</v>
      </c>
      <c r="L7" s="4">
        <f t="shared" si="2"/>
        <v>0</v>
      </c>
      <c r="M7" s="35">
        <f>IF(J7&lt;'Параметры ПФ'!$L$3+0.01,E7*F7*G7,ROUNDDOWN('Параметры ПФ'!$L$3/IF(H7=0,I7,IF(I7&gt;H7,H7,I7)),0)*G7)</f>
        <v>0</v>
      </c>
      <c r="N7" s="27">
        <f t="shared" si="4"/>
        <v>0</v>
      </c>
    </row>
    <row r="8" spans="1:14" x14ac:dyDescent="0.25">
      <c r="A8" s="3" t="s">
        <v>38</v>
      </c>
      <c r="B8" s="3"/>
      <c r="C8" s="3" t="s">
        <v>5</v>
      </c>
      <c r="D8" s="18"/>
      <c r="E8" s="18"/>
      <c r="F8" s="19"/>
      <c r="G8" s="19"/>
      <c r="H8" s="20"/>
      <c r="I8" s="4">
        <f>HLOOKUP($C8,'Параметры ПФ'!$F$8:$K$13,6,FALSE)*'Параметры ПФ'!$G$22</f>
        <v>77.97</v>
      </c>
      <c r="J8" s="4">
        <f t="shared" si="1"/>
        <v>0</v>
      </c>
      <c r="K8" s="5">
        <f>IF(J8&lt;'Параметры ПФ'!$L$3+0.01,'Адаптированные программы'!J8,ROUNDDOWN('Параметры ПФ'!$L$3/IF(H8=0,I8,IF(I8&gt;H8,H8,I8)),0)*IF(H8=0,I8,IF(I8&gt;H8,H8,I8)))</f>
        <v>0</v>
      </c>
      <c r="L8" s="4">
        <f t="shared" si="2"/>
        <v>0</v>
      </c>
      <c r="M8" s="35">
        <f>IF(J8&lt;'Параметры ПФ'!$L$3+0.01,E8*F8*G8,ROUNDDOWN('Параметры ПФ'!$L$3/IF(H8=0,I8,IF(I8&gt;H8,H8,I8)),0)*G8)</f>
        <v>0</v>
      </c>
      <c r="N8" s="27">
        <f t="shared" si="4"/>
        <v>0</v>
      </c>
    </row>
    <row r="9" spans="1:14" x14ac:dyDescent="0.25">
      <c r="A9" s="3" t="s">
        <v>2</v>
      </c>
      <c r="B9" s="3"/>
      <c r="C9" s="3" t="s">
        <v>5</v>
      </c>
      <c r="D9" s="18"/>
      <c r="E9" s="18"/>
      <c r="F9" s="19"/>
      <c r="G9" s="19"/>
      <c r="H9" s="20"/>
      <c r="I9" s="4">
        <f>HLOOKUP($C9,'Параметры ПФ'!$F$8:$K$13,6,FALSE)*'Параметры ПФ'!$G$22</f>
        <v>77.97</v>
      </c>
      <c r="J9" s="4">
        <f t="shared" si="1"/>
        <v>0</v>
      </c>
      <c r="K9" s="5">
        <f>IF(J9&lt;'Параметры ПФ'!$L$3+0.01,'Адаптированные программы'!J9,ROUNDDOWN('Параметры ПФ'!$L$3/IF(H9=0,I9,IF(I9&gt;H9,H9,I9)),0)*IF(H9=0,I9,IF(I9&gt;H9,H9,I9)))</f>
        <v>0</v>
      </c>
      <c r="L9" s="4">
        <f t="shared" si="2"/>
        <v>0</v>
      </c>
      <c r="M9" s="35">
        <f>IF(J9&lt;'Параметры ПФ'!$L$3+0.01,E9*F9*G9,ROUNDDOWN('Параметры ПФ'!$L$3/IF(H9=0,I9,IF(I9&gt;H9,H9,I9)),0)*G9)</f>
        <v>0</v>
      </c>
      <c r="N9" s="27">
        <f t="shared" si="4"/>
        <v>0</v>
      </c>
    </row>
    <row r="10" spans="1:14" x14ac:dyDescent="0.25">
      <c r="A10" s="3" t="s">
        <v>2</v>
      </c>
      <c r="B10" s="3"/>
      <c r="C10" s="3" t="s">
        <v>5</v>
      </c>
      <c r="D10" s="18"/>
      <c r="E10" s="18"/>
      <c r="F10" s="19"/>
      <c r="G10" s="19"/>
      <c r="H10" s="20"/>
      <c r="I10" s="4">
        <f>HLOOKUP($C10,'Параметры ПФ'!$F$8:$K$13,6,FALSE)*'Параметры ПФ'!$G$22</f>
        <v>77.97</v>
      </c>
      <c r="J10" s="4">
        <f t="shared" si="1"/>
        <v>0</v>
      </c>
      <c r="K10" s="5">
        <f>IF(J10&lt;'Параметры ПФ'!$L$3+0.01,'Адаптированные программы'!J10,ROUNDDOWN('Параметры ПФ'!$L$3/IF(H10=0,I10,IF(I10&gt;H10,H10,I10)),0)*IF(H10=0,I10,IF(I10&gt;H10,H10,I10)))</f>
        <v>0</v>
      </c>
      <c r="L10" s="4">
        <f t="shared" si="2"/>
        <v>0</v>
      </c>
      <c r="M10" s="35">
        <f>IF(J10&lt;'Параметры ПФ'!$L$3+0.01,E10*F10*G10,ROUNDDOWN('Параметры ПФ'!$L$3/IF(H10=0,I10,IF(I10&gt;H10,H10,I10)),0)*G10)</f>
        <v>0</v>
      </c>
      <c r="N10" s="27">
        <f t="shared" si="4"/>
        <v>0</v>
      </c>
    </row>
    <row r="11" spans="1:14" x14ac:dyDescent="0.25">
      <c r="A11" s="3" t="s">
        <v>2</v>
      </c>
      <c r="B11" s="3"/>
      <c r="C11" s="3" t="s">
        <v>5</v>
      </c>
      <c r="D11" s="18"/>
      <c r="E11" s="18"/>
      <c r="F11" s="19"/>
      <c r="G11" s="19"/>
      <c r="H11" s="20"/>
      <c r="I11" s="4">
        <f>HLOOKUP($C11,'Параметры ПФ'!$F$8:$K$13,6,FALSE)*'Параметры ПФ'!$G$22</f>
        <v>77.97</v>
      </c>
      <c r="J11" s="4">
        <f t="shared" si="1"/>
        <v>0</v>
      </c>
      <c r="K11" s="5">
        <f>IF(J11&lt;'Параметры ПФ'!$L$3+0.01,'Адаптированные программы'!J11,ROUNDDOWN('Параметры ПФ'!$L$3/IF(H11=0,I11,IF(I11&gt;H11,H11,I11)),0)*IF(H11=0,I11,IF(I11&gt;H11,H11,I11)))</f>
        <v>0</v>
      </c>
      <c r="L11" s="4">
        <f t="shared" si="2"/>
        <v>0</v>
      </c>
      <c r="M11" s="35">
        <f>IF(J11&lt;'Параметры ПФ'!$L$3+0.01,E11*F11*G11,ROUNDDOWN('Параметры ПФ'!$L$3/IF(H11=0,I11,IF(I11&gt;H11,H11,I11)),0)*G11)</f>
        <v>0</v>
      </c>
      <c r="N11" s="27">
        <f t="shared" si="4"/>
        <v>0</v>
      </c>
    </row>
    <row r="12" spans="1:14" x14ac:dyDescent="0.25">
      <c r="A12" s="3" t="s">
        <v>2</v>
      </c>
      <c r="B12" s="3"/>
      <c r="C12" s="3" t="s">
        <v>5</v>
      </c>
      <c r="D12" s="18"/>
      <c r="E12" s="18"/>
      <c r="F12" s="19"/>
      <c r="G12" s="19"/>
      <c r="H12" s="20"/>
      <c r="I12" s="4">
        <f>HLOOKUP($C12,'Параметры ПФ'!$F$8:$K$13,6,FALSE)*'Параметры ПФ'!$G$22</f>
        <v>77.97</v>
      </c>
      <c r="J12" s="4">
        <f t="shared" si="1"/>
        <v>0</v>
      </c>
      <c r="K12" s="5">
        <f>IF(J12&lt;'Параметры ПФ'!$L$3+0.01,'Адаптированные программы'!J12,ROUNDDOWN('Параметры ПФ'!$L$3/IF(H12=0,I12,IF(I12&gt;H12,H12,I12)),0)*IF(H12=0,I12,IF(I12&gt;H12,H12,I12)))</f>
        <v>0</v>
      </c>
      <c r="L12" s="4">
        <f t="shared" si="2"/>
        <v>0</v>
      </c>
      <c r="M12" s="35">
        <f>IF(J12&lt;'Параметры ПФ'!$L$3+0.01,E12*F12*G12,ROUNDDOWN('Параметры ПФ'!$L$3/IF(H12=0,I12,IF(I12&gt;H12,H12,I12)),0)*G12)</f>
        <v>0</v>
      </c>
      <c r="N12" s="27">
        <f t="shared" si="4"/>
        <v>0</v>
      </c>
    </row>
    <row r="13" spans="1:14" x14ac:dyDescent="0.25">
      <c r="A13" s="3" t="s">
        <v>2</v>
      </c>
      <c r="B13" s="3"/>
      <c r="C13" s="3" t="s">
        <v>5</v>
      </c>
      <c r="D13" s="18"/>
      <c r="E13" s="18"/>
      <c r="F13" s="19"/>
      <c r="G13" s="19"/>
      <c r="H13" s="20"/>
      <c r="I13" s="4">
        <f>HLOOKUP($C13,'Параметры ПФ'!$F$8:$K$13,6,FALSE)*'Параметры ПФ'!$G$22</f>
        <v>77.97</v>
      </c>
      <c r="J13" s="4">
        <f t="shared" si="1"/>
        <v>0</v>
      </c>
      <c r="K13" s="5">
        <f>IF(J13&lt;'Параметры ПФ'!$L$3+0.01,'Адаптированные программы'!J13,ROUNDDOWN('Параметры ПФ'!$L$3/IF(H13=0,I13,IF(I13&gt;H13,H13,I13)),0)*IF(H13=0,I13,IF(I13&gt;H13,H13,I13)))</f>
        <v>0</v>
      </c>
      <c r="L13" s="4">
        <f t="shared" si="2"/>
        <v>0</v>
      </c>
      <c r="M13" s="35">
        <f>IF(J13&lt;'Параметры ПФ'!$L$3+0.01,E13*F13*G13,ROUNDDOWN('Параметры ПФ'!$L$3/IF(H13=0,I13,IF(I13&gt;H13,H13,I13)),0)*G13)</f>
        <v>0</v>
      </c>
      <c r="N13" s="27">
        <f t="shared" si="4"/>
        <v>0</v>
      </c>
    </row>
    <row r="14" spans="1:14" x14ac:dyDescent="0.25">
      <c r="A14" s="3" t="s">
        <v>2</v>
      </c>
      <c r="B14" s="3"/>
      <c r="C14" s="3" t="s">
        <v>5</v>
      </c>
      <c r="D14" s="18"/>
      <c r="E14" s="18"/>
      <c r="F14" s="19"/>
      <c r="G14" s="19"/>
      <c r="H14" s="20"/>
      <c r="I14" s="4">
        <f>HLOOKUP($C14,'Параметры ПФ'!$F$8:$K$13,6,FALSE)*'Параметры ПФ'!$G$22</f>
        <v>77.97</v>
      </c>
      <c r="J14" s="4">
        <f t="shared" si="1"/>
        <v>0</v>
      </c>
      <c r="K14" s="5">
        <f>IF(J14&lt;'Параметры ПФ'!$L$3+0.01,'Адаптированные программы'!J14,ROUNDDOWN('Параметры ПФ'!$L$3/IF(H14=0,I14,IF(I14&gt;H14,H14,I14)),0)*IF(H14=0,I14,IF(I14&gt;H14,H14,I14)))</f>
        <v>0</v>
      </c>
      <c r="L14" s="4">
        <f t="shared" si="2"/>
        <v>0</v>
      </c>
      <c r="M14" s="35">
        <f>IF(J14&lt;'Параметры ПФ'!$L$3+0.01,E14*F14*G14,ROUNDDOWN('Параметры ПФ'!$L$3/IF(H14=0,I14,IF(I14&gt;H14,H14,I14)),0)*G14)</f>
        <v>0</v>
      </c>
      <c r="N14" s="27">
        <f t="shared" si="4"/>
        <v>0</v>
      </c>
    </row>
    <row r="15" spans="1:14" x14ac:dyDescent="0.25">
      <c r="A15" s="3" t="s">
        <v>2</v>
      </c>
      <c r="B15" s="3"/>
      <c r="C15" s="3" t="s">
        <v>5</v>
      </c>
      <c r="D15" s="18"/>
      <c r="E15" s="18"/>
      <c r="F15" s="19"/>
      <c r="G15" s="19"/>
      <c r="H15" s="20"/>
      <c r="I15" s="4">
        <f>HLOOKUP($C15,'Параметры ПФ'!$F$8:$K$13,6,FALSE)*'Параметры ПФ'!$G$22</f>
        <v>77.97</v>
      </c>
      <c r="J15" s="4">
        <f t="shared" si="1"/>
        <v>0</v>
      </c>
      <c r="K15" s="5">
        <f>IF(J15&lt;'Параметры ПФ'!$L$3+0.01,'Адаптированные программы'!J15,ROUNDDOWN('Параметры ПФ'!$L$3/IF(H15=0,I15,IF(I15&gt;H15,H15,I15)),0)*IF(H15=0,I15,IF(I15&gt;H15,H15,I15)))</f>
        <v>0</v>
      </c>
      <c r="L15" s="4">
        <f t="shared" si="2"/>
        <v>0</v>
      </c>
      <c r="M15" s="35">
        <f>IF(J15&lt;'Параметры ПФ'!$L$3+0.01,E15*F15*G15,ROUNDDOWN('Параметры ПФ'!$L$3/IF(H15=0,I15,IF(I15&gt;H15,H15,I15)),0)*G15)</f>
        <v>0</v>
      </c>
      <c r="N15" s="27">
        <f t="shared" si="4"/>
        <v>0</v>
      </c>
    </row>
    <row r="16" spans="1:14" x14ac:dyDescent="0.25">
      <c r="A16" s="3" t="s">
        <v>2</v>
      </c>
      <c r="B16" s="3"/>
      <c r="C16" s="3" t="s">
        <v>5</v>
      </c>
      <c r="D16" s="18"/>
      <c r="E16" s="18"/>
      <c r="F16" s="19"/>
      <c r="G16" s="19"/>
      <c r="H16" s="20"/>
      <c r="I16" s="4">
        <f>HLOOKUP($C16,'Параметры ПФ'!$F$8:$K$13,6,FALSE)*'Параметры ПФ'!$G$22</f>
        <v>77.97</v>
      </c>
      <c r="J16" s="4">
        <f t="shared" si="1"/>
        <v>0</v>
      </c>
      <c r="K16" s="5">
        <f>IF(J16&lt;'Параметры ПФ'!$L$3+0.01,'Адаптированные программы'!J16,ROUNDDOWN('Параметры ПФ'!$L$3/IF(H16=0,I16,IF(I16&gt;H16,H16,I16)),0)*IF(H16=0,I16,IF(I16&gt;H16,H16,I16)))</f>
        <v>0</v>
      </c>
      <c r="L16" s="4">
        <f t="shared" si="2"/>
        <v>0</v>
      </c>
      <c r="M16" s="35">
        <f>IF(J16&lt;'Параметры ПФ'!$L$3+0.01,E16*F16*G16,ROUNDDOWN('Параметры ПФ'!$L$3/IF(H16=0,I16,IF(I16&gt;H16,H16,I16)),0)*G16)</f>
        <v>0</v>
      </c>
      <c r="N16" s="27">
        <f t="shared" si="4"/>
        <v>0</v>
      </c>
    </row>
    <row r="17" spans="1:14" x14ac:dyDescent="0.25">
      <c r="A17" s="3" t="s">
        <v>2</v>
      </c>
      <c r="B17" s="3"/>
      <c r="C17" s="3" t="s">
        <v>5</v>
      </c>
      <c r="D17" s="18"/>
      <c r="E17" s="18"/>
      <c r="F17" s="19"/>
      <c r="G17" s="19"/>
      <c r="H17" s="20"/>
      <c r="I17" s="4">
        <f>HLOOKUP($C17,'Параметры ПФ'!$F$8:$K$13,6,FALSE)*'Параметры ПФ'!$G$22</f>
        <v>77.97</v>
      </c>
      <c r="J17" s="4">
        <f t="shared" si="1"/>
        <v>0</v>
      </c>
      <c r="K17" s="5">
        <f>IF(J17&lt;'Параметры ПФ'!$L$3+0.01,'Адаптированные программы'!J17,ROUNDDOWN('Параметры ПФ'!$L$3/IF(H17=0,I17,IF(I17&gt;H17,H17,I17)),0)*IF(H17=0,I17,IF(I17&gt;H17,H17,I17)))</f>
        <v>0</v>
      </c>
      <c r="L17" s="4">
        <f t="shared" si="2"/>
        <v>0</v>
      </c>
      <c r="M17" s="35">
        <f>IF(J17&lt;'Параметры ПФ'!$L$3+0.01,E17*F17*G17,ROUNDDOWN('Параметры ПФ'!$L$3/IF(H17=0,I17,IF(I17&gt;H17,H17,I17)),0)*G17)</f>
        <v>0</v>
      </c>
      <c r="N17" s="27">
        <f t="shared" si="4"/>
        <v>0</v>
      </c>
    </row>
    <row r="18" spans="1:14" x14ac:dyDescent="0.25">
      <c r="A18" s="3" t="s">
        <v>2</v>
      </c>
      <c r="B18" s="3"/>
      <c r="C18" s="3" t="s">
        <v>5</v>
      </c>
      <c r="D18" s="18"/>
      <c r="E18" s="18"/>
      <c r="F18" s="19"/>
      <c r="G18" s="19"/>
      <c r="H18" s="20"/>
      <c r="I18" s="4">
        <f>HLOOKUP($C18,'Параметры ПФ'!$F$8:$K$13,6,FALSE)*'Параметры ПФ'!$G$22</f>
        <v>77.97</v>
      </c>
      <c r="J18" s="4">
        <f t="shared" si="1"/>
        <v>0</v>
      </c>
      <c r="K18" s="5">
        <f>IF(J18&lt;'Параметры ПФ'!$L$3+0.01,'Адаптированные программы'!J18,ROUNDDOWN('Параметры ПФ'!$L$3/IF(H18=0,I18,IF(I18&gt;H18,H18,I18)),0)*IF(H18=0,I18,IF(I18&gt;H18,H18,I18)))</f>
        <v>0</v>
      </c>
      <c r="L18" s="4">
        <f t="shared" si="2"/>
        <v>0</v>
      </c>
      <c r="M18" s="35">
        <f>IF(J18&lt;'Параметры ПФ'!$L$3+0.01,E18*F18*G18,ROUNDDOWN('Параметры ПФ'!$L$3/IF(H18=0,I18,IF(I18&gt;H18,H18,I18)),0)*G18)</f>
        <v>0</v>
      </c>
      <c r="N18" s="27">
        <f t="shared" si="4"/>
        <v>0</v>
      </c>
    </row>
    <row r="19" spans="1:14" x14ac:dyDescent="0.25">
      <c r="A19" s="3" t="s">
        <v>2</v>
      </c>
      <c r="B19" s="3"/>
      <c r="C19" s="3" t="s">
        <v>5</v>
      </c>
      <c r="D19" s="18"/>
      <c r="E19" s="18"/>
      <c r="F19" s="19"/>
      <c r="G19" s="19"/>
      <c r="H19" s="20"/>
      <c r="I19" s="4">
        <f>HLOOKUP($C19,'Параметры ПФ'!$F$8:$K$13,6,FALSE)*'Параметры ПФ'!$G$22</f>
        <v>77.97</v>
      </c>
      <c r="J19" s="4">
        <f t="shared" si="1"/>
        <v>0</v>
      </c>
      <c r="K19" s="5">
        <f>IF(J19&lt;'Параметры ПФ'!$L$3+0.01,'Адаптированные программы'!J19,ROUNDDOWN('Параметры ПФ'!$L$3/IF(H19=0,I19,IF(I19&gt;H19,H19,I19)),0)*IF(H19=0,I19,IF(I19&gt;H19,H19,I19)))</f>
        <v>0</v>
      </c>
      <c r="L19" s="4">
        <f t="shared" si="2"/>
        <v>0</v>
      </c>
      <c r="M19" s="35">
        <f>IF(J19&lt;'Параметры ПФ'!$L$3+0.01,E19*F19*G19,ROUNDDOWN('Параметры ПФ'!$L$3/IF(H19=0,I19,IF(I19&gt;H19,H19,I19)),0)*G19)</f>
        <v>0</v>
      </c>
      <c r="N19" s="27">
        <f t="shared" si="4"/>
        <v>0</v>
      </c>
    </row>
    <row r="20" spans="1:14" x14ac:dyDescent="0.25">
      <c r="A20" s="3" t="s">
        <v>2</v>
      </c>
      <c r="B20" s="3"/>
      <c r="C20" s="3" t="s">
        <v>5</v>
      </c>
      <c r="D20" s="18"/>
      <c r="E20" s="18"/>
      <c r="F20" s="19"/>
      <c r="G20" s="19"/>
      <c r="H20" s="20"/>
      <c r="I20" s="4">
        <f>HLOOKUP($C20,'Параметры ПФ'!$F$8:$K$13,6,FALSE)*'Параметры ПФ'!$G$22</f>
        <v>77.97</v>
      </c>
      <c r="J20" s="4">
        <f t="shared" si="1"/>
        <v>0</v>
      </c>
      <c r="K20" s="5">
        <f>IF(J20&lt;'Параметры ПФ'!$L$3+0.01,'Адаптированные программы'!J20,ROUNDDOWN('Параметры ПФ'!$L$3/IF(H20=0,I20,IF(I20&gt;H20,H20,I20)),0)*IF(H20=0,I20,IF(I20&gt;H20,H20,I20)))</f>
        <v>0</v>
      </c>
      <c r="L20" s="4">
        <f t="shared" si="2"/>
        <v>0</v>
      </c>
      <c r="M20" s="35">
        <f>IF(J20&lt;'Параметры ПФ'!$L$3+0.01,E20*F20*G20,ROUNDDOWN('Параметры ПФ'!$L$3/IF(H20=0,I20,IF(I20&gt;H20,H20,I20)),0)*G20)</f>
        <v>0</v>
      </c>
      <c r="N20" s="27">
        <f t="shared" si="4"/>
        <v>0</v>
      </c>
    </row>
    <row r="21" spans="1:14" x14ac:dyDescent="0.25">
      <c r="A21" s="3" t="s">
        <v>2</v>
      </c>
      <c r="B21" s="3"/>
      <c r="C21" s="3" t="s">
        <v>5</v>
      </c>
      <c r="D21" s="18"/>
      <c r="E21" s="18"/>
      <c r="F21" s="19"/>
      <c r="G21" s="19"/>
      <c r="H21" s="20"/>
      <c r="I21" s="4">
        <f>HLOOKUP($C21,'Параметры ПФ'!$F$8:$K$13,6,FALSE)*'Параметры ПФ'!$G$22</f>
        <v>77.97</v>
      </c>
      <c r="J21" s="4">
        <f t="shared" si="1"/>
        <v>0</v>
      </c>
      <c r="K21" s="5">
        <f>IF(J21&lt;'Параметры ПФ'!$L$3+0.01,'Адаптированные программы'!J21,ROUNDDOWN('Параметры ПФ'!$L$3/IF(H21=0,I21,IF(I21&gt;H21,H21,I21)),0)*IF(H21=0,I21,IF(I21&gt;H21,H21,I21)))</f>
        <v>0</v>
      </c>
      <c r="L21" s="4">
        <f t="shared" si="2"/>
        <v>0</v>
      </c>
      <c r="M21" s="35">
        <f>IF(J21&lt;'Параметры ПФ'!$L$3+0.01,E21*F21*G21,ROUNDDOWN('Параметры ПФ'!$L$3/IF(H21=0,I21,IF(I21&gt;H21,H21,I21)),0)*G21)</f>
        <v>0</v>
      </c>
      <c r="N21" s="27">
        <f t="shared" si="4"/>
        <v>0</v>
      </c>
    </row>
    <row r="22" spans="1:14" x14ac:dyDescent="0.25">
      <c r="A22" s="3" t="s">
        <v>2</v>
      </c>
      <c r="B22" s="3"/>
      <c r="C22" s="3" t="s">
        <v>5</v>
      </c>
      <c r="D22" s="18"/>
      <c r="E22" s="18"/>
      <c r="F22" s="19"/>
      <c r="G22" s="19"/>
      <c r="H22" s="20"/>
      <c r="I22" s="4">
        <f>HLOOKUP($C22,'Параметры ПФ'!$F$8:$K$13,6,FALSE)*'Параметры ПФ'!$G$22</f>
        <v>77.97</v>
      </c>
      <c r="J22" s="4">
        <f t="shared" si="1"/>
        <v>0</v>
      </c>
      <c r="K22" s="5">
        <f>IF(J22&lt;'Параметры ПФ'!$L$3+0.01,'Адаптированные программы'!J22,ROUNDDOWN('Параметры ПФ'!$L$3/IF(H22=0,I22,IF(I22&gt;H22,H22,I22)),0)*IF(H22=0,I22,IF(I22&gt;H22,H22,I22)))</f>
        <v>0</v>
      </c>
      <c r="L22" s="4">
        <f t="shared" si="2"/>
        <v>0</v>
      </c>
      <c r="M22" s="35">
        <f>IF(J22&lt;'Параметры ПФ'!$L$3+0.01,E22*F22*G22,ROUNDDOWN('Параметры ПФ'!$L$3/IF(H22=0,I22,IF(I22&gt;H22,H22,I22)),0)*G22)</f>
        <v>0</v>
      </c>
      <c r="N22" s="27">
        <f t="shared" si="4"/>
        <v>0</v>
      </c>
    </row>
    <row r="23" spans="1:14" x14ac:dyDescent="0.25">
      <c r="A23" s="3" t="s">
        <v>2</v>
      </c>
      <c r="B23" s="3"/>
      <c r="C23" s="3" t="s">
        <v>5</v>
      </c>
      <c r="D23" s="18"/>
      <c r="E23" s="18"/>
      <c r="F23" s="19"/>
      <c r="G23" s="19"/>
      <c r="H23" s="20"/>
      <c r="I23" s="4">
        <f>HLOOKUP($C23,'Параметры ПФ'!$F$8:$K$13,6,FALSE)*'Параметры ПФ'!$G$22</f>
        <v>77.97</v>
      </c>
      <c r="J23" s="4">
        <f t="shared" si="1"/>
        <v>0</v>
      </c>
      <c r="K23" s="5">
        <f>IF(J23&lt;'Параметры ПФ'!$L$3+0.01,'Адаптированные программы'!J23,ROUNDDOWN('Параметры ПФ'!$L$3/IF(H23=0,I23,IF(I23&gt;H23,H23,I23)),0)*IF(H23=0,I23,IF(I23&gt;H23,H23,I23)))</f>
        <v>0</v>
      </c>
      <c r="L23" s="4">
        <f t="shared" si="2"/>
        <v>0</v>
      </c>
      <c r="M23" s="35">
        <f>IF(J23&lt;'Параметры ПФ'!$L$3+0.01,E23*F23*G23,ROUNDDOWN('Параметры ПФ'!$L$3/IF(H23=0,I23,IF(I23&gt;H23,H23,I23)),0)*G23)</f>
        <v>0</v>
      </c>
      <c r="N23" s="27">
        <f t="shared" si="4"/>
        <v>0</v>
      </c>
    </row>
    <row r="24" spans="1:14" x14ac:dyDescent="0.25">
      <c r="A24" s="3" t="s">
        <v>2</v>
      </c>
      <c r="B24" s="3"/>
      <c r="C24" s="3" t="s">
        <v>5</v>
      </c>
      <c r="D24" s="18"/>
      <c r="E24" s="18"/>
      <c r="F24" s="19"/>
      <c r="G24" s="19"/>
      <c r="H24" s="20"/>
      <c r="I24" s="4">
        <f>HLOOKUP($C24,'Параметры ПФ'!$F$8:$K$13,6,FALSE)*'Параметры ПФ'!$G$22</f>
        <v>77.97</v>
      </c>
      <c r="J24" s="4">
        <f t="shared" si="1"/>
        <v>0</v>
      </c>
      <c r="K24" s="5">
        <f>IF(J24&lt;'Параметры ПФ'!$L$3+0.01,'Адаптированные программы'!J24,ROUNDDOWN('Параметры ПФ'!$L$3/IF(H24=0,I24,IF(I24&gt;H24,H24,I24)),0)*IF(H24=0,I24,IF(I24&gt;H24,H24,I24)))</f>
        <v>0</v>
      </c>
      <c r="L24" s="4">
        <f t="shared" si="2"/>
        <v>0</v>
      </c>
      <c r="M24" s="35">
        <f>IF(J24&lt;'Параметры ПФ'!$L$3+0.01,E24*F24*G24,ROUNDDOWN('Параметры ПФ'!$L$3/IF(H24=0,I24,IF(I24&gt;H24,H24,I24)),0)*G24)</f>
        <v>0</v>
      </c>
      <c r="N24" s="27">
        <f t="shared" si="4"/>
        <v>0</v>
      </c>
    </row>
    <row r="25" spans="1:14" x14ac:dyDescent="0.25">
      <c r="A25" s="3" t="s">
        <v>2</v>
      </c>
      <c r="B25" s="3"/>
      <c r="C25" s="3" t="s">
        <v>5</v>
      </c>
      <c r="D25" s="18"/>
      <c r="E25" s="18"/>
      <c r="F25" s="19"/>
      <c r="G25" s="19"/>
      <c r="H25" s="20"/>
      <c r="I25" s="4">
        <f>HLOOKUP($C25,'Параметры ПФ'!$F$8:$K$13,6,FALSE)*'Параметры ПФ'!$G$22</f>
        <v>77.97</v>
      </c>
      <c r="J25" s="4">
        <f t="shared" si="1"/>
        <v>0</v>
      </c>
      <c r="K25" s="5">
        <f>IF(J25&lt;'Параметры ПФ'!$L$3+0.01,'Адаптированные программы'!J25,ROUNDDOWN('Параметры ПФ'!$L$3/IF(H25=0,I25,IF(I25&gt;H25,H25,I25)),0)*IF(H25=0,I25,IF(I25&gt;H25,H25,I25)))</f>
        <v>0</v>
      </c>
      <c r="L25" s="4">
        <f t="shared" si="2"/>
        <v>0</v>
      </c>
      <c r="M25" s="35">
        <f>IF(J25&lt;'Параметры ПФ'!$L$3+0.01,E25*F25*G25,ROUNDDOWN('Параметры ПФ'!$L$3/IF(H25=0,I25,IF(I25&gt;H25,H25,I25)),0)*G25)</f>
        <v>0</v>
      </c>
      <c r="N25" s="27">
        <f t="shared" si="4"/>
        <v>0</v>
      </c>
    </row>
    <row r="26" spans="1:14" x14ac:dyDescent="0.25">
      <c r="A26" s="3" t="s">
        <v>2</v>
      </c>
      <c r="B26" s="3"/>
      <c r="C26" s="3" t="s">
        <v>5</v>
      </c>
      <c r="D26" s="18"/>
      <c r="E26" s="18"/>
      <c r="F26" s="19"/>
      <c r="G26" s="19"/>
      <c r="H26" s="20"/>
      <c r="I26" s="4">
        <f>HLOOKUP($C26,'Параметры ПФ'!$F$8:$K$13,6,FALSE)*'Параметры ПФ'!$G$22</f>
        <v>77.97</v>
      </c>
      <c r="J26" s="4">
        <f t="shared" si="1"/>
        <v>0</v>
      </c>
      <c r="K26" s="5">
        <f>IF(J26&lt;'Параметры ПФ'!$L$3+0.01,'Адаптированные программы'!J26,ROUNDDOWN('Параметры ПФ'!$L$3/IF(H26=0,I26,IF(I26&gt;H26,H26,I26)),0)*IF(H26=0,I26,IF(I26&gt;H26,H26,I26)))</f>
        <v>0</v>
      </c>
      <c r="L26" s="4">
        <f t="shared" si="2"/>
        <v>0</v>
      </c>
      <c r="M26" s="35">
        <f>IF(J26&lt;'Параметры ПФ'!$L$3+0.01,E26*F26*G26,ROUNDDOWN('Параметры ПФ'!$L$3/IF(H26=0,I26,IF(I26&gt;H26,H26,I26)),0)*G26)</f>
        <v>0</v>
      </c>
      <c r="N26" s="27">
        <f t="shared" si="4"/>
        <v>0</v>
      </c>
    </row>
    <row r="27" spans="1:14" x14ac:dyDescent="0.25">
      <c r="A27" s="3" t="s">
        <v>2</v>
      </c>
      <c r="B27" s="3"/>
      <c r="C27" s="3" t="s">
        <v>5</v>
      </c>
      <c r="D27" s="18"/>
      <c r="E27" s="18"/>
      <c r="F27" s="19"/>
      <c r="G27" s="19"/>
      <c r="H27" s="20"/>
      <c r="I27" s="4">
        <f>HLOOKUP($C27,'Параметры ПФ'!$F$8:$K$13,6,FALSE)*'Параметры ПФ'!$G$22</f>
        <v>77.97</v>
      </c>
      <c r="J27" s="4">
        <f t="shared" si="1"/>
        <v>0</v>
      </c>
      <c r="K27" s="5">
        <f>IF(J27&lt;'Параметры ПФ'!$L$3+0.01,'Адаптированные программы'!J27,ROUNDDOWN('Параметры ПФ'!$L$3/IF(H27=0,I27,IF(I27&gt;H27,H27,I27)),0)*IF(H27=0,I27,IF(I27&gt;H27,H27,I27)))</f>
        <v>0</v>
      </c>
      <c r="L27" s="4">
        <f t="shared" si="2"/>
        <v>0</v>
      </c>
      <c r="M27" s="35">
        <f>IF(J27&lt;'Параметры ПФ'!$L$3+0.01,E27*F27*G27,ROUNDDOWN('Параметры ПФ'!$L$3/IF(H27=0,I27,IF(I27&gt;H27,H27,I27)),0)*G27)</f>
        <v>0</v>
      </c>
      <c r="N27" s="27">
        <f t="shared" si="4"/>
        <v>0</v>
      </c>
    </row>
    <row r="28" spans="1:14" x14ac:dyDescent="0.25">
      <c r="A28" s="3" t="s">
        <v>2</v>
      </c>
      <c r="B28" s="3"/>
      <c r="C28" s="3" t="s">
        <v>5</v>
      </c>
      <c r="D28" s="18"/>
      <c r="E28" s="18"/>
      <c r="F28" s="19"/>
      <c r="G28" s="19"/>
      <c r="H28" s="20"/>
      <c r="I28" s="4">
        <f>HLOOKUP($C28,'Параметры ПФ'!$F$8:$K$13,6,FALSE)*'Параметры ПФ'!$G$22</f>
        <v>77.97</v>
      </c>
      <c r="J28" s="4">
        <f t="shared" si="1"/>
        <v>0</v>
      </c>
      <c r="K28" s="5">
        <f>IF(J28&lt;'Параметры ПФ'!$L$3+0.01,'Адаптированные программы'!J28,ROUNDDOWN('Параметры ПФ'!$L$3/IF(H28=0,I28,IF(I28&gt;H28,H28,I28)),0)*IF(H28=0,I28,IF(I28&gt;H28,H28,I28)))</f>
        <v>0</v>
      </c>
      <c r="L28" s="4">
        <f t="shared" si="2"/>
        <v>0</v>
      </c>
      <c r="M28" s="35">
        <f>IF(J28&lt;'Параметры ПФ'!$L$3+0.01,E28*F28*G28,ROUNDDOWN('Параметры ПФ'!$L$3/IF(H28=0,I28,IF(I28&gt;H28,H28,I28)),0)*G28)</f>
        <v>0</v>
      </c>
      <c r="N28" s="27">
        <f t="shared" si="4"/>
        <v>0</v>
      </c>
    </row>
    <row r="29" spans="1:14" x14ac:dyDescent="0.25">
      <c r="A29" s="3" t="s">
        <v>2</v>
      </c>
      <c r="B29" s="3"/>
      <c r="C29" s="3" t="s">
        <v>5</v>
      </c>
      <c r="D29" s="18"/>
      <c r="E29" s="18"/>
      <c r="F29" s="19"/>
      <c r="G29" s="19"/>
      <c r="H29" s="20"/>
      <c r="I29" s="4">
        <f>HLOOKUP($C29,'Параметры ПФ'!$F$8:$K$13,6,FALSE)*'Параметры ПФ'!$G$22</f>
        <v>77.97</v>
      </c>
      <c r="J29" s="4">
        <f t="shared" si="1"/>
        <v>0</v>
      </c>
      <c r="K29" s="5">
        <f>IF(J29&lt;'Параметры ПФ'!$L$3+0.01,'Адаптированные программы'!J29,ROUNDDOWN('Параметры ПФ'!$L$3/IF(H29=0,I29,IF(I29&gt;H29,H29,I29)),0)*IF(H29=0,I29,IF(I29&gt;H29,H29,I29)))</f>
        <v>0</v>
      </c>
      <c r="L29" s="4">
        <f t="shared" si="2"/>
        <v>0</v>
      </c>
      <c r="M29" s="35">
        <f>IF(J29&lt;'Параметры ПФ'!$L$3+0.01,E29*F29*G29,ROUNDDOWN('Параметры ПФ'!$L$3/IF(H29=0,I29,IF(I29&gt;H29,H29,I29)),0)*G29)</f>
        <v>0</v>
      </c>
      <c r="N29" s="27">
        <f t="shared" si="4"/>
        <v>0</v>
      </c>
    </row>
    <row r="30" spans="1:14" x14ac:dyDescent="0.25">
      <c r="A30" s="3" t="s">
        <v>2</v>
      </c>
      <c r="B30" s="3"/>
      <c r="C30" s="3" t="s">
        <v>5</v>
      </c>
      <c r="D30" s="18"/>
      <c r="E30" s="18"/>
      <c r="F30" s="19"/>
      <c r="G30" s="19"/>
      <c r="H30" s="20"/>
      <c r="I30" s="4">
        <f>HLOOKUP($C30,'Параметры ПФ'!$F$8:$K$13,6,FALSE)*'Параметры ПФ'!$G$22</f>
        <v>77.97</v>
      </c>
      <c r="J30" s="4">
        <f t="shared" si="1"/>
        <v>0</v>
      </c>
      <c r="K30" s="5">
        <f>IF(J30&lt;'Параметры ПФ'!$L$3+0.01,'Адаптированные программы'!J30,ROUNDDOWN('Параметры ПФ'!$L$3/IF(H30=0,I30,IF(I30&gt;H30,H30,I30)),0)*IF(H30=0,I30,IF(I30&gt;H30,H30,I30)))</f>
        <v>0</v>
      </c>
      <c r="L30" s="4">
        <f t="shared" si="2"/>
        <v>0</v>
      </c>
      <c r="M30" s="35">
        <f>IF(J30&lt;'Параметры ПФ'!$L$3+0.01,E30*F30*G30,ROUNDDOWN('Параметры ПФ'!$L$3/IF(H30=0,I30,IF(I30&gt;H30,H30,I30)),0)*G30)</f>
        <v>0</v>
      </c>
      <c r="N30" s="27">
        <f t="shared" si="4"/>
        <v>0</v>
      </c>
    </row>
    <row r="31" spans="1:14" x14ac:dyDescent="0.25">
      <c r="A31" s="3" t="s">
        <v>2</v>
      </c>
      <c r="B31" s="3"/>
      <c r="C31" s="3" t="s">
        <v>5</v>
      </c>
      <c r="D31" s="18"/>
      <c r="E31" s="18"/>
      <c r="F31" s="19"/>
      <c r="G31" s="19"/>
      <c r="H31" s="20"/>
      <c r="I31" s="4">
        <f>HLOOKUP($C31,'Параметры ПФ'!$F$8:$K$13,6,FALSE)*'Параметры ПФ'!$G$22</f>
        <v>77.97</v>
      </c>
      <c r="J31" s="4">
        <f t="shared" si="1"/>
        <v>0</v>
      </c>
      <c r="K31" s="5">
        <f>IF(J31&lt;'Параметры ПФ'!$L$3+0.01,'Адаптированные программы'!J31,ROUNDDOWN('Параметры ПФ'!$L$3/IF(H31=0,I31,IF(I31&gt;H31,H31,I31)),0)*IF(H31=0,I31,IF(I31&gt;H31,H31,I31)))</f>
        <v>0</v>
      </c>
      <c r="L31" s="4">
        <f t="shared" si="2"/>
        <v>0</v>
      </c>
      <c r="M31" s="35">
        <f>IF(J31&lt;'Параметры ПФ'!$L$3+0.01,E31*F31*G31,ROUNDDOWN('Параметры ПФ'!$L$3/IF(H31=0,I31,IF(I31&gt;H31,H31,I31)),0)*G31)</f>
        <v>0</v>
      </c>
      <c r="N31" s="27">
        <f t="shared" si="4"/>
        <v>0</v>
      </c>
    </row>
    <row r="32" spans="1:14" x14ac:dyDescent="0.25">
      <c r="A32" s="3" t="s">
        <v>2</v>
      </c>
      <c r="B32" s="3"/>
      <c r="C32" s="3" t="s">
        <v>5</v>
      </c>
      <c r="D32" s="18"/>
      <c r="E32" s="18"/>
      <c r="F32" s="19"/>
      <c r="G32" s="19"/>
      <c r="H32" s="20"/>
      <c r="I32" s="4">
        <f>HLOOKUP($C32,'Параметры ПФ'!$F$8:$K$13,6,FALSE)*'Параметры ПФ'!$G$22</f>
        <v>77.97</v>
      </c>
      <c r="J32" s="4">
        <f t="shared" si="1"/>
        <v>0</v>
      </c>
      <c r="K32" s="5">
        <f>IF(J32&lt;'Параметры ПФ'!$L$3+0.01,'Адаптированные программы'!J32,ROUNDDOWN('Параметры ПФ'!$L$3/IF(H32=0,I32,IF(I32&gt;H32,H32,I32)),0)*IF(H32=0,I32,IF(I32&gt;H32,H32,I32)))</f>
        <v>0</v>
      </c>
      <c r="L32" s="4">
        <f t="shared" si="2"/>
        <v>0</v>
      </c>
      <c r="M32" s="35">
        <f>IF(J32&lt;'Параметры ПФ'!$L$3+0.01,E32*F32*G32,ROUNDDOWN('Параметры ПФ'!$L$3/IF(H32=0,I32,IF(I32&gt;H32,H32,I32)),0)*G32)</f>
        <v>0</v>
      </c>
      <c r="N32" s="27">
        <f t="shared" si="4"/>
        <v>0</v>
      </c>
    </row>
    <row r="33" spans="1:14" x14ac:dyDescent="0.25">
      <c r="A33" s="3" t="s">
        <v>2</v>
      </c>
      <c r="B33" s="3"/>
      <c r="C33" s="3" t="s">
        <v>5</v>
      </c>
      <c r="D33" s="18"/>
      <c r="E33" s="18"/>
      <c r="F33" s="19"/>
      <c r="G33" s="19"/>
      <c r="H33" s="20"/>
      <c r="I33" s="4">
        <f>HLOOKUP($C33,'Параметры ПФ'!$F$8:$K$13,6,FALSE)*'Параметры ПФ'!$G$22</f>
        <v>77.97</v>
      </c>
      <c r="J33" s="4">
        <f t="shared" si="1"/>
        <v>0</v>
      </c>
      <c r="K33" s="5">
        <f>IF(J33&lt;'Параметры ПФ'!$L$3+0.01,'Адаптированные программы'!J33,ROUNDDOWN('Параметры ПФ'!$L$3/IF(H33=0,I33,IF(I33&gt;H33,H33,I33)),0)*IF(H33=0,I33,IF(I33&gt;H33,H33,I33)))</f>
        <v>0</v>
      </c>
      <c r="L33" s="4">
        <f t="shared" si="2"/>
        <v>0</v>
      </c>
      <c r="M33" s="35">
        <f>IF(J33&lt;'Параметры ПФ'!$L$3+0.01,E33*F33*G33,ROUNDDOWN('Параметры ПФ'!$L$3/IF(H33=0,I33,IF(I33&gt;H33,H33,I33)),0)*G33)</f>
        <v>0</v>
      </c>
      <c r="N33" s="27">
        <f t="shared" si="4"/>
        <v>0</v>
      </c>
    </row>
    <row r="34" spans="1:14" x14ac:dyDescent="0.25">
      <c r="A34" s="3" t="s">
        <v>2</v>
      </c>
      <c r="B34" s="3"/>
      <c r="C34" s="3" t="s">
        <v>5</v>
      </c>
      <c r="D34" s="18"/>
      <c r="E34" s="18"/>
      <c r="F34" s="19"/>
      <c r="G34" s="19"/>
      <c r="H34" s="20"/>
      <c r="I34" s="4">
        <f>HLOOKUP($C34,'Параметры ПФ'!$F$8:$K$13,6,FALSE)*'Параметры ПФ'!$G$22</f>
        <v>77.97</v>
      </c>
      <c r="J34" s="4">
        <f t="shared" si="1"/>
        <v>0</v>
      </c>
      <c r="K34" s="5">
        <f>IF(J34&lt;'Параметры ПФ'!$L$3+0.01,'Адаптированные программы'!J34,ROUNDDOWN('Параметры ПФ'!$L$3/IF(H34=0,I34,IF(I34&gt;H34,H34,I34)),0)*IF(H34=0,I34,IF(I34&gt;H34,H34,I34)))</f>
        <v>0</v>
      </c>
      <c r="L34" s="4">
        <f t="shared" si="2"/>
        <v>0</v>
      </c>
      <c r="M34" s="35">
        <f>IF(J34&lt;'Параметры ПФ'!$L$3+0.01,E34*F34*G34,ROUNDDOWN('Параметры ПФ'!$L$3/IF(H34=0,I34,IF(I34&gt;H34,H34,I34)),0)*G34)</f>
        <v>0</v>
      </c>
      <c r="N34" s="27">
        <f t="shared" si="4"/>
        <v>0</v>
      </c>
    </row>
    <row r="35" spans="1:14" x14ac:dyDescent="0.25">
      <c r="A35" s="3" t="s">
        <v>2</v>
      </c>
      <c r="B35" s="3"/>
      <c r="C35" s="3" t="s">
        <v>5</v>
      </c>
      <c r="D35" s="18"/>
      <c r="E35" s="18"/>
      <c r="F35" s="19"/>
      <c r="G35" s="19"/>
      <c r="H35" s="20"/>
      <c r="I35" s="4">
        <f>HLOOKUP($C35,'Параметры ПФ'!$F$8:$K$13,6,FALSE)*'Параметры ПФ'!$G$22</f>
        <v>77.97</v>
      </c>
      <c r="J35" s="4">
        <f t="shared" si="1"/>
        <v>0</v>
      </c>
      <c r="K35" s="5">
        <f>IF(J35&lt;'Параметры ПФ'!$L$3+0.01,'Адаптированные программы'!J35,ROUNDDOWN('Параметры ПФ'!$L$3/IF(H35=0,I35,IF(I35&gt;H35,H35,I35)),0)*IF(H35=0,I35,IF(I35&gt;H35,H35,I35)))</f>
        <v>0</v>
      </c>
      <c r="L35" s="4">
        <f t="shared" si="2"/>
        <v>0</v>
      </c>
      <c r="M35" s="35">
        <f>IF(J35&lt;'Параметры ПФ'!$L$3+0.01,E35*F35*G35,ROUNDDOWN('Параметры ПФ'!$L$3/IF(H35=0,I35,IF(I35&gt;H35,H35,I35)),0)*G35)</f>
        <v>0</v>
      </c>
      <c r="N35" s="27">
        <f t="shared" si="4"/>
        <v>0</v>
      </c>
    </row>
    <row r="36" spans="1:14" x14ac:dyDescent="0.25">
      <c r="A36" s="3" t="s">
        <v>2</v>
      </c>
      <c r="B36" s="3"/>
      <c r="C36" s="3" t="s">
        <v>5</v>
      </c>
      <c r="D36" s="18"/>
      <c r="E36" s="18"/>
      <c r="F36" s="19"/>
      <c r="G36" s="19"/>
      <c r="H36" s="20"/>
      <c r="I36" s="4">
        <f>HLOOKUP($C36,'Параметры ПФ'!$F$8:$K$13,6,FALSE)*'Параметры ПФ'!$G$22</f>
        <v>77.97</v>
      </c>
      <c r="J36" s="4">
        <f t="shared" si="1"/>
        <v>0</v>
      </c>
      <c r="K36" s="5">
        <f>IF(J36&lt;'Параметры ПФ'!$L$3+0.01,'Адаптированные программы'!J36,ROUNDDOWN('Параметры ПФ'!$L$3/IF(H36=0,I36,IF(I36&gt;H36,H36,I36)),0)*IF(H36=0,I36,IF(I36&gt;H36,H36,I36)))</f>
        <v>0</v>
      </c>
      <c r="L36" s="4">
        <f t="shared" si="2"/>
        <v>0</v>
      </c>
      <c r="M36" s="35">
        <f>IF(J36&lt;'Параметры ПФ'!$L$3+0.01,E36*F36*G36,ROUNDDOWN('Параметры ПФ'!$L$3/IF(H36=0,I36,IF(I36&gt;H36,H36,I36)),0)*G36)</f>
        <v>0</v>
      </c>
      <c r="N36" s="27">
        <f t="shared" si="4"/>
        <v>0</v>
      </c>
    </row>
    <row r="37" spans="1:14" x14ac:dyDescent="0.25">
      <c r="A37" s="3" t="s">
        <v>2</v>
      </c>
      <c r="B37" s="3"/>
      <c r="C37" s="3" t="s">
        <v>5</v>
      </c>
      <c r="D37" s="18"/>
      <c r="E37" s="18"/>
      <c r="F37" s="19"/>
      <c r="G37" s="19"/>
      <c r="H37" s="20"/>
      <c r="I37" s="4">
        <f>HLOOKUP($C37,'Параметры ПФ'!$F$8:$K$13,6,FALSE)*'Параметры ПФ'!$G$22</f>
        <v>77.97</v>
      </c>
      <c r="J37" s="4">
        <f t="shared" si="1"/>
        <v>0</v>
      </c>
      <c r="K37" s="5">
        <f>IF(J37&lt;'Параметры ПФ'!$L$3+0.01,'Адаптированные программы'!J37,ROUNDDOWN('Параметры ПФ'!$L$3/IF(H37=0,I37,IF(I37&gt;H37,H37,I37)),0)*IF(H37=0,I37,IF(I37&gt;H37,H37,I37)))</f>
        <v>0</v>
      </c>
      <c r="L37" s="4">
        <f t="shared" si="2"/>
        <v>0</v>
      </c>
      <c r="M37" s="35">
        <f>IF(J37&lt;'Параметры ПФ'!$L$3+0.01,E37*F37*G37,ROUNDDOWN('Параметры ПФ'!$L$3/IF(H37=0,I37,IF(I37&gt;H37,H37,I37)),0)*G37)</f>
        <v>0</v>
      </c>
      <c r="N37" s="27">
        <f t="shared" si="4"/>
        <v>0</v>
      </c>
    </row>
    <row r="38" spans="1:14" x14ac:dyDescent="0.25">
      <c r="A38" s="3" t="s">
        <v>2</v>
      </c>
      <c r="B38" s="3"/>
      <c r="C38" s="3" t="s">
        <v>5</v>
      </c>
      <c r="D38" s="18"/>
      <c r="E38" s="18"/>
      <c r="F38" s="19"/>
      <c r="G38" s="19"/>
      <c r="H38" s="20"/>
      <c r="I38" s="4">
        <f>HLOOKUP($C38,'Параметры ПФ'!$F$8:$K$13,6,FALSE)*'Параметры ПФ'!$G$22</f>
        <v>77.97</v>
      </c>
      <c r="J38" s="4">
        <f t="shared" si="1"/>
        <v>0</v>
      </c>
      <c r="K38" s="5">
        <f>IF(J38&lt;'Параметры ПФ'!$L$3+0.01,'Адаптированные программы'!J38,ROUNDDOWN('Параметры ПФ'!$L$3/IF(H38=0,I38,IF(I38&gt;H38,H38,I38)),0)*IF(H38=0,I38,IF(I38&gt;H38,H38,I38)))</f>
        <v>0</v>
      </c>
      <c r="L38" s="4">
        <f t="shared" si="2"/>
        <v>0</v>
      </c>
      <c r="M38" s="35">
        <f>IF(J38&lt;'Параметры ПФ'!$L$3+0.01,E38*F38*G38,ROUNDDOWN('Параметры ПФ'!$L$3/IF(H38=0,I38,IF(I38&gt;H38,H38,I38)),0)*G38)</f>
        <v>0</v>
      </c>
      <c r="N38" s="27">
        <f t="shared" si="4"/>
        <v>0</v>
      </c>
    </row>
    <row r="39" spans="1:14" x14ac:dyDescent="0.25">
      <c r="A39" s="121"/>
      <c r="B39" s="121"/>
      <c r="C39" s="121"/>
      <c r="D39" s="121"/>
      <c r="E39" s="121"/>
      <c r="F39" s="121"/>
      <c r="G39" s="6">
        <f>SUM(G2:G38)</f>
        <v>0</v>
      </c>
      <c r="H39" s="7" t="s">
        <v>30</v>
      </c>
      <c r="I39" s="8" t="s">
        <v>30</v>
      </c>
      <c r="J39" s="7" t="s">
        <v>30</v>
      </c>
      <c r="K39" s="8" t="s">
        <v>30</v>
      </c>
      <c r="L39" s="33">
        <f>SUM(L2:L38)</f>
        <v>0</v>
      </c>
      <c r="M39" s="36">
        <f>SUM(M2:M38)</f>
        <v>0</v>
      </c>
      <c r="N39" s="28" t="s">
        <v>30</v>
      </c>
    </row>
  </sheetData>
  <mergeCells count="1">
    <mergeCell ref="A39:F39"/>
  </mergeCells>
  <conditionalFormatting sqref="N2:N38">
    <cfRule type="cellIs" dxfId="0" priority="1" operator="greaterThan">
      <formula>#REF!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79EB9D-E590-4BD7-AFCF-D4C697474C26}">
          <x14:formula1>
            <xm:f>'Параметры ПФ'!$F$8:$K$8</xm:f>
          </x14:formula1>
          <xm:sqref>C2:C38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Параметры ПФ</vt:lpstr>
      <vt:lpstr>Стандартные программы</vt:lpstr>
      <vt:lpstr>Дистанционные программы</vt:lpstr>
      <vt:lpstr>Очно-заочные программы</vt:lpstr>
      <vt:lpstr>Адаптированные программы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ПроценковаЕО</cp:lastModifiedBy>
  <cp:lastPrinted>2021-09-17T08:08:01Z</cp:lastPrinted>
  <dcterms:created xsi:type="dcterms:W3CDTF">2019-03-03T02:50:35Z</dcterms:created>
  <dcterms:modified xsi:type="dcterms:W3CDTF">2022-12-01T08:30:03Z</dcterms:modified>
</cp:coreProperties>
</file>